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1" r:id="rId1"/>
    <sheet name="Data source" sheetId="16" r:id="rId2"/>
    <sheet name="Site characteristics" sheetId="1" r:id="rId3"/>
    <sheet name="Without legumes" sheetId="9" r:id="rId4"/>
    <sheet name="With legumes option 1 " sheetId="15" r:id="rId5"/>
    <sheet name="Data for yield stability" sheetId="12" r:id="rId6"/>
    <sheet name="GM" sheetId="17" r:id="rId7"/>
    <sheet name="N fertilizer" sheetId="18" r:id="rId8"/>
    <sheet name="Protein &amp; Energy Output" sheetId="19" r:id="rId9"/>
    <sheet name="Crop diversity" sheetId="20" r:id="rId10"/>
    <sheet name="NO3" sheetId="25" r:id="rId11"/>
    <sheet name="N2O calculations" sheetId="22" r:id="rId12"/>
    <sheet name="N2O default values" sheetId="23" r:id="rId13"/>
    <sheet name="Mapping crops" sheetId="24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8" l="1"/>
  <c r="S18" i="12" l="1"/>
  <c r="O18" i="12"/>
  <c r="K18" i="12"/>
  <c r="G18" i="12"/>
  <c r="C18" i="12"/>
  <c r="B15" i="17"/>
  <c r="I15" i="17"/>
  <c r="B28" i="18"/>
  <c r="C15" i="19"/>
  <c r="H15" i="19"/>
  <c r="B20" i="19"/>
  <c r="G20" i="19"/>
  <c r="K13" i="25" l="1"/>
  <c r="K7" i="25"/>
  <c r="K3" i="21" l="1"/>
  <c r="K2" i="21"/>
  <c r="L9" i="17" l="1"/>
  <c r="K9" i="17"/>
  <c r="J9" i="17"/>
  <c r="I9" i="17"/>
  <c r="C9" i="17"/>
  <c r="D9" i="17"/>
  <c r="E9" i="17"/>
  <c r="B9" i="17"/>
  <c r="L28" i="22" l="1"/>
  <c r="K28" i="22"/>
  <c r="J28" i="22"/>
  <c r="I28" i="22"/>
  <c r="C28" i="22"/>
  <c r="D28" i="22"/>
  <c r="E28" i="22"/>
  <c r="B28" i="22"/>
  <c r="J24" i="22" l="1"/>
  <c r="I24" i="22"/>
  <c r="B2" i="22"/>
  <c r="C2" i="22"/>
  <c r="D2" i="22"/>
  <c r="E2" i="22"/>
  <c r="J9" i="22"/>
  <c r="J26" i="22" s="1"/>
  <c r="B25" i="22"/>
  <c r="L11" i="22"/>
  <c r="K11" i="22"/>
  <c r="J11" i="22"/>
  <c r="I11" i="22"/>
  <c r="E11" i="22"/>
  <c r="D11" i="22"/>
  <c r="C11" i="22"/>
  <c r="B11" i="22"/>
  <c r="L10" i="22"/>
  <c r="K10" i="22"/>
  <c r="J10" i="22"/>
  <c r="I10" i="22"/>
  <c r="B10" i="22"/>
  <c r="K9" i="22"/>
  <c r="K26" i="22" s="1"/>
  <c r="I9" i="22"/>
  <c r="E9" i="22"/>
  <c r="B9" i="22"/>
  <c r="L7" i="22"/>
  <c r="L24" i="22" s="1"/>
  <c r="K7" i="22"/>
  <c r="K8" i="22" s="1"/>
  <c r="J7" i="22"/>
  <c r="I7" i="22"/>
  <c r="I8" i="22"/>
  <c r="I14" i="22" s="1"/>
  <c r="E7" i="22"/>
  <c r="E24" i="22" s="1"/>
  <c r="D7" i="22"/>
  <c r="D24" i="22" s="1"/>
  <c r="C7" i="22"/>
  <c r="C24" i="22" s="1"/>
  <c r="B7" i="22"/>
  <c r="B24" i="22" s="1"/>
  <c r="E4" i="22"/>
  <c r="D4" i="22"/>
  <c r="C4" i="22"/>
  <c r="B4" i="22"/>
  <c r="A4" i="22"/>
  <c r="E3" i="22"/>
  <c r="D3" i="22"/>
  <c r="C3" i="22"/>
  <c r="B3" i="22"/>
  <c r="A3" i="22"/>
  <c r="A2" i="22"/>
  <c r="E1" i="22"/>
  <c r="D1" i="22"/>
  <c r="C1" i="22"/>
  <c r="B1" i="22"/>
  <c r="A1" i="22"/>
  <c r="U22" i="23"/>
  <c r="U21" i="23"/>
  <c r="U20" i="23"/>
  <c r="U19" i="23"/>
  <c r="U18" i="23"/>
  <c r="Q18" i="23"/>
  <c r="U17" i="23"/>
  <c r="Q17" i="23"/>
  <c r="U16" i="23"/>
  <c r="R16" i="23"/>
  <c r="P16" i="23"/>
  <c r="U15" i="23"/>
  <c r="U14" i="23"/>
  <c r="U13" i="23"/>
  <c r="U12" i="23"/>
  <c r="R12" i="23"/>
  <c r="U11" i="23"/>
  <c r="R11" i="23"/>
  <c r="P11" i="23"/>
  <c r="U10" i="23"/>
  <c r="P10" i="23"/>
  <c r="U9" i="23"/>
  <c r="R9" i="23"/>
  <c r="U8" i="23"/>
  <c r="U7" i="23"/>
  <c r="U6" i="23"/>
  <c r="U5" i="23"/>
  <c r="U4" i="23"/>
  <c r="E4" i="23"/>
  <c r="I26" i="22" s="1"/>
  <c r="U3" i="23"/>
  <c r="E3" i="23"/>
  <c r="U2" i="23"/>
  <c r="G2" i="23"/>
  <c r="E2" i="23"/>
  <c r="I25" i="22" s="1"/>
  <c r="L27" i="22"/>
  <c r="K27" i="22"/>
  <c r="J27" i="22"/>
  <c r="I27" i="22"/>
  <c r="E27" i="22"/>
  <c r="D27" i="22"/>
  <c r="C27" i="22"/>
  <c r="B27" i="22"/>
  <c r="L8" i="22"/>
  <c r="L14" i="22"/>
  <c r="J8" i="22"/>
  <c r="J14" i="22" s="1"/>
  <c r="E8" i="22"/>
  <c r="E14" i="22" s="1"/>
  <c r="C8" i="22"/>
  <c r="C14" i="22"/>
  <c r="R3" i="21"/>
  <c r="R2" i="21"/>
  <c r="H24" i="12"/>
  <c r="O2" i="21" s="1"/>
  <c r="H25" i="12"/>
  <c r="O3" i="21" s="1"/>
  <c r="J2" i="21"/>
  <c r="J3" i="21"/>
  <c r="B13" i="20"/>
  <c r="D13" i="20"/>
  <c r="E13" i="20" s="1"/>
  <c r="B14" i="20"/>
  <c r="D14" i="20"/>
  <c r="E14" i="20" s="1"/>
  <c r="D19" i="20"/>
  <c r="E19" i="20"/>
  <c r="B20" i="20"/>
  <c r="D20" i="20"/>
  <c r="E20" i="20" s="1"/>
  <c r="B21" i="20"/>
  <c r="D21" i="20"/>
  <c r="E21" i="20" s="1"/>
  <c r="B11" i="19"/>
  <c r="B18" i="19" s="1"/>
  <c r="Q2" i="21" s="1"/>
  <c r="B13" i="19"/>
  <c r="C11" i="19"/>
  <c r="C18" i="19" s="1"/>
  <c r="C13" i="19"/>
  <c r="D11" i="19"/>
  <c r="D18" i="19" s="1"/>
  <c r="E11" i="19"/>
  <c r="E18" i="19" s="1"/>
  <c r="G11" i="19"/>
  <c r="G18" i="19" s="1"/>
  <c r="Q3" i="21" s="1"/>
  <c r="G13" i="19"/>
  <c r="H11" i="19"/>
  <c r="H18" i="19" s="1"/>
  <c r="I11" i="19"/>
  <c r="I18" i="19" s="1"/>
  <c r="J11" i="19"/>
  <c r="J18" i="19" s="1"/>
  <c r="J13" i="19"/>
  <c r="B13" i="18"/>
  <c r="C13" i="18"/>
  <c r="C26" i="18" s="1"/>
  <c r="D13" i="18"/>
  <c r="D25" i="22" s="1"/>
  <c r="E13" i="18"/>
  <c r="E25" i="22" s="1"/>
  <c r="J13" i="18"/>
  <c r="J25" i="22" s="1"/>
  <c r="K13" i="18"/>
  <c r="K25" i="22" s="1"/>
  <c r="L13" i="18"/>
  <c r="L25" i="22" s="1"/>
  <c r="B18" i="18"/>
  <c r="C18" i="18"/>
  <c r="C10" i="22" s="1"/>
  <c r="D18" i="18"/>
  <c r="D10" i="22" s="1"/>
  <c r="E18" i="18"/>
  <c r="E10" i="22" s="1"/>
  <c r="L3" i="21"/>
  <c r="B23" i="18"/>
  <c r="B13" i="17"/>
  <c r="C13" i="17"/>
  <c r="D13" i="17"/>
  <c r="E13" i="17"/>
  <c r="I13" i="17"/>
  <c r="J13" i="17"/>
  <c r="K13" i="17"/>
  <c r="L13" i="17"/>
  <c r="F2" i="21"/>
  <c r="B26" i="18"/>
  <c r="D26" i="18"/>
  <c r="F3" i="21" l="1"/>
  <c r="I3" i="21" s="1"/>
  <c r="I15" i="22"/>
  <c r="I17" i="22" s="1"/>
  <c r="J15" i="22"/>
  <c r="J17" i="22" s="1"/>
  <c r="J16" i="22"/>
  <c r="J18" i="22" s="1"/>
  <c r="K14" i="22"/>
  <c r="K15" i="22" s="1"/>
  <c r="K17" i="22" s="1"/>
  <c r="H2" i="21"/>
  <c r="I2" i="21"/>
  <c r="L16" i="22"/>
  <c r="L18" i="22" s="1"/>
  <c r="C16" i="22"/>
  <c r="C18" i="22" s="1"/>
  <c r="E15" i="22"/>
  <c r="E17" i="22" s="1"/>
  <c r="C15" i="22"/>
  <c r="C17" i="22" s="1"/>
  <c r="D8" i="22"/>
  <c r="C9" i="22"/>
  <c r="C25" i="22"/>
  <c r="H13" i="19"/>
  <c r="P3" i="21" s="1"/>
  <c r="E13" i="19"/>
  <c r="D9" i="22"/>
  <c r="E26" i="18"/>
  <c r="L2" i="21" s="1"/>
  <c r="K24" i="22"/>
  <c r="D13" i="19"/>
  <c r="P2" i="21" s="1"/>
  <c r="L15" i="22"/>
  <c r="L17" i="22" s="1"/>
  <c r="I13" i="19"/>
  <c r="B8" i="22"/>
  <c r="L9" i="22"/>
  <c r="L26" i="22" s="1"/>
  <c r="C26" i="22"/>
  <c r="E26" i="22"/>
  <c r="D26" i="22"/>
  <c r="B26" i="22"/>
  <c r="H3" i="21" l="1"/>
  <c r="L19" i="22"/>
  <c r="L31" i="22" s="1"/>
  <c r="D16" i="22"/>
  <c r="D18" i="22" s="1"/>
  <c r="D14" i="22"/>
  <c r="D15" i="22" s="1"/>
  <c r="D17" i="22" s="1"/>
  <c r="C19" i="22"/>
  <c r="K16" i="22"/>
  <c r="K18" i="22" s="1"/>
  <c r="K19" i="22" s="1"/>
  <c r="K31" i="22" s="1"/>
  <c r="C31" i="22"/>
  <c r="I16" i="22"/>
  <c r="I18" i="22" s="1"/>
  <c r="I19" i="22" s="1"/>
  <c r="I31" i="22" s="1"/>
  <c r="H31" i="22" s="1"/>
  <c r="N3" i="21" s="1"/>
  <c r="E16" i="22"/>
  <c r="E18" i="22" s="1"/>
  <c r="E19" i="22" s="1"/>
  <c r="E31" i="22" s="1"/>
  <c r="B14" i="22"/>
  <c r="B15" i="22" s="1"/>
  <c r="B17" i="22" s="1"/>
  <c r="J19" i="22"/>
  <c r="J31" i="22" s="1"/>
  <c r="B16" i="22" l="1"/>
  <c r="B18" i="22" s="1"/>
  <c r="B19" i="22" s="1"/>
  <c r="B31" i="22" s="1"/>
  <c r="D19" i="22"/>
  <c r="D31" i="22" s="1"/>
  <c r="A31" i="22" l="1"/>
  <c r="N2" i="21" s="1"/>
</calcChain>
</file>

<file path=xl/comments1.xml><?xml version="1.0" encoding="utf-8"?>
<comments xmlns="http://schemas.openxmlformats.org/spreadsheetml/2006/main">
  <authors>
    <author>notz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L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In order to increase comparability we used a price average of 273€/t for the sunflower price from both rotations (before the prices were 245€/t and 300 €/t) and 150€/t for wheat (before the prices were 140€/t and 150 €/t and 160€/t)</t>
        </r>
      </text>
    </comment>
  </commentList>
</comments>
</file>

<file path=xl/sharedStrings.xml><?xml version="1.0" encoding="utf-8"?>
<sst xmlns="http://schemas.openxmlformats.org/spreadsheetml/2006/main" count="1040" uniqueCount="472">
  <si>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</si>
  <si>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</si>
  <si>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</si>
  <si>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</si>
  <si>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</si>
  <si>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</si>
  <si>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</si>
  <si>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</si>
  <si>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</si>
  <si>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</si>
  <si>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</si>
  <si>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</si>
  <si>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</si>
  <si>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</si>
  <si>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</si>
  <si>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</si>
  <si>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</si>
  <si>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</si>
  <si>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</si>
  <si>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</si>
  <si>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</si>
  <si>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</si>
  <si>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</si>
  <si>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</si>
  <si>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</si>
  <si>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</si>
  <si>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</si>
  <si>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</si>
  <si>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</si>
  <si>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</si>
  <si>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</si>
  <si>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</si>
  <si>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</si>
  <si>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Other fertiliser used?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</si>
  <si>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</si>
  <si>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</si>
  <si>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</si>
  <si>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</si>
  <si>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</si>
  <si>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</si>
  <si>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</si>
  <si>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</si>
  <si>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</si>
  <si>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</si>
  <si>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</si>
  <si>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</si>
  <si>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</si>
  <si>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</si>
  <si>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</si>
  <si>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</si>
  <si>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</si>
  <si>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</si>
  <si>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</si>
  <si>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</si>
  <si>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</si>
  <si>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</si>
  <si>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</si>
  <si>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</si>
  <si>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</si>
  <si>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</si>
  <si>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</si>
  <si>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</si>
  <si>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</si>
  <si>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</si>
  <si>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</si>
  <si>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</si>
  <si>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</si>
  <si>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</si>
  <si>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</si>
  <si>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</si>
  <si>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</si>
  <si>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</si>
  <si>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</si>
  <si>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</si>
  <si>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</si>
  <si>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</si>
  <si>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Grain</t>
  </si>
  <si>
    <t>46% P</t>
  </si>
  <si>
    <t>-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</si>
  <si>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</si>
  <si>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</si>
  <si>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</si>
  <si>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</si>
  <si>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</si>
  <si>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</si>
  <si>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</si>
  <si>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</si>
  <si>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</si>
  <si>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>Price [EUR/ha]</t>
  </si>
  <si>
    <t xml:space="preserve">Amount [t/ha] </t>
  </si>
  <si>
    <t xml:space="preserve">Yield [t/ha] </t>
  </si>
  <si>
    <t>Number of year</t>
  </si>
  <si>
    <t>Crop [name of crop]:</t>
  </si>
  <si>
    <t>Organic fertilizers</t>
  </si>
  <si>
    <t>Composition</t>
  </si>
  <si>
    <t>Mineral fertilizers</t>
  </si>
  <si>
    <t>Trailer sprayer</t>
  </si>
  <si>
    <t>Amount [kg or l/ha]</t>
  </si>
  <si>
    <t>None</t>
  </si>
  <si>
    <t>Total amount [kg or l/ha]</t>
  </si>
  <si>
    <t>Left on the field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</si>
  <si>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</si>
  <si>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</si>
  <si>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</si>
  <si>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</si>
  <si>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Toal amount [kg or l/ha]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</si>
  <si>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</si>
  <si>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</si>
  <si>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</si>
  <si>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</si>
  <si>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</si>
  <si>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_</t>
  </si>
  <si>
    <t>Other fertiliser used</t>
  </si>
  <si>
    <t>Nutrient content e.g. N, P, K (%)</t>
  </si>
  <si>
    <t>Spreader</t>
  </si>
  <si>
    <t>Slurry</t>
  </si>
  <si>
    <t xml:space="preserve">Please indicate the specific costs of production, the total variable costs and subsidies. </t>
  </si>
  <si>
    <t>BG32 -Nort Central</t>
  </si>
  <si>
    <t>BG321 -V. Tarnovo</t>
  </si>
  <si>
    <t>chernozem</t>
  </si>
  <si>
    <t>leached chernozem</t>
  </si>
  <si>
    <t>1,37g/cm³</t>
  </si>
  <si>
    <t>35 cm</t>
  </si>
  <si>
    <t>220 mm</t>
  </si>
  <si>
    <t>550-600 mm</t>
  </si>
  <si>
    <t>200-250 mm</t>
  </si>
  <si>
    <t xml:space="preserve">DC Ecstec </t>
  </si>
  <si>
    <t>Euroserial Duo</t>
  </si>
  <si>
    <t>10% N, 24% P, 20% S, 0,1%B, 0,1%Zn</t>
  </si>
  <si>
    <t>Sulfano</t>
  </si>
  <si>
    <t>27%S, N 25%, mg 4%</t>
  </si>
  <si>
    <t>Lebosol</t>
  </si>
  <si>
    <t>4,1% B, 4,8% Mn, 0,5% Mo, 9% CaO, 9,2% S</t>
  </si>
  <si>
    <t>Butizan</t>
  </si>
  <si>
    <t xml:space="preserve">2,5 l </t>
  </si>
  <si>
    <t>Leopard</t>
  </si>
  <si>
    <t>Caryx</t>
  </si>
  <si>
    <t>0,8 l</t>
  </si>
  <si>
    <t>Nurele</t>
  </si>
  <si>
    <t>0,7 l</t>
  </si>
  <si>
    <t>Proteus</t>
  </si>
  <si>
    <t>Pictor</t>
  </si>
  <si>
    <t>0,5 l</t>
  </si>
  <si>
    <t>1,5 l</t>
  </si>
  <si>
    <t>winter wheat</t>
  </si>
  <si>
    <t>grain</t>
  </si>
  <si>
    <t>sold</t>
  </si>
  <si>
    <t>250 kg</t>
  </si>
  <si>
    <t>Dragana</t>
  </si>
  <si>
    <t>DAP</t>
  </si>
  <si>
    <t>18% N, 46% P</t>
  </si>
  <si>
    <t>NH4NO3</t>
  </si>
  <si>
    <t>34% N</t>
  </si>
  <si>
    <t>4,1% B, 4,8% Mn, 0,5% Mo,9% CaO,9,2% S</t>
  </si>
  <si>
    <t>Derby</t>
  </si>
  <si>
    <t>Imaspro</t>
  </si>
  <si>
    <t>1 l</t>
  </si>
  <si>
    <t>Tango</t>
  </si>
  <si>
    <t>Duet ultra</t>
  </si>
  <si>
    <t>0,6 l</t>
  </si>
  <si>
    <t>Agria</t>
  </si>
  <si>
    <t>winter rape</t>
  </si>
  <si>
    <t>sunflower</t>
  </si>
  <si>
    <t>P2O5</t>
  </si>
  <si>
    <t>NPK</t>
  </si>
  <si>
    <t>16% N, 16% P, 16% K</t>
  </si>
  <si>
    <t>1,6%Cu,11,5Mn,4,9%Zn,1,8N,12,6%Mg</t>
  </si>
  <si>
    <t>Stomp</t>
  </si>
  <si>
    <t>3,5 l</t>
  </si>
  <si>
    <t>1,2 l</t>
  </si>
  <si>
    <t>Pulsar</t>
  </si>
  <si>
    <t>maize</t>
  </si>
  <si>
    <t xml:space="preserve">Р9900-430 </t>
  </si>
  <si>
    <t>Neoma</t>
  </si>
  <si>
    <t>Magneto</t>
  </si>
  <si>
    <t>1,25 l</t>
  </si>
  <si>
    <t>Sirio</t>
  </si>
  <si>
    <t>0,03 kg</t>
  </si>
  <si>
    <t>soybean</t>
  </si>
  <si>
    <t>soid</t>
  </si>
  <si>
    <t>Srebrina</t>
  </si>
  <si>
    <t>Pledge 50WP</t>
  </si>
  <si>
    <t>1,0 l/ha</t>
  </si>
  <si>
    <t>80 g/ha</t>
  </si>
  <si>
    <t>Pantera 40 Ek</t>
  </si>
  <si>
    <t>Pulsar 40</t>
  </si>
  <si>
    <t>1,5 l/ha</t>
  </si>
  <si>
    <t>Enola</t>
  </si>
  <si>
    <t>CAN</t>
  </si>
  <si>
    <t>26% N</t>
  </si>
  <si>
    <t>350 kg/ha</t>
  </si>
  <si>
    <t>0,03 kg/ha</t>
  </si>
  <si>
    <t>Puma Super</t>
  </si>
  <si>
    <t>1l/ha</t>
  </si>
  <si>
    <t>Falkon 460EK</t>
  </si>
  <si>
    <t>0,6l/ha</t>
  </si>
  <si>
    <t>Pesticide (Fungicide)</t>
  </si>
  <si>
    <t>PR 64 LE25</t>
  </si>
  <si>
    <t>NPK (15:15:15)</t>
  </si>
  <si>
    <t>15%-15%-15%</t>
  </si>
  <si>
    <t>250kg/ha</t>
  </si>
  <si>
    <t>Express 50SG</t>
  </si>
  <si>
    <t>0,04kg/ha</t>
  </si>
  <si>
    <t>2,3 t/ha</t>
  </si>
  <si>
    <t>Crop [name of crop]:soybean</t>
  </si>
  <si>
    <t>Crop [name of crop]:sunflower</t>
  </si>
  <si>
    <t>Crop [name of crop]:maize</t>
  </si>
  <si>
    <t xml:space="preserve"> Crop [name of crop]: Winter wheat</t>
  </si>
  <si>
    <t>No ploughing</t>
  </si>
  <si>
    <t>DATE:30,03.2018</t>
  </si>
  <si>
    <t>How representative are the data?</t>
  </si>
  <si>
    <t xml:space="preserve">Contact person:
</t>
  </si>
  <si>
    <t>Dr. Anelia Iantcheva (aneliaiancheva@abi.bg)</t>
  </si>
  <si>
    <t xml:space="preserve">The data for the rotations are coming from experimental and production fields in the Pavlikeny soybean station, near Tarnovo. </t>
  </si>
  <si>
    <t>Yes</t>
  </si>
  <si>
    <t>Data representing practical farming?</t>
  </si>
  <si>
    <t>No</t>
  </si>
  <si>
    <r>
      <t xml:space="preserve">Average yields from </t>
    </r>
    <r>
      <rPr>
        <b/>
        <sz val="11"/>
        <color rgb="FF000000"/>
        <rFont val="Calibri"/>
        <family val="2"/>
        <scheme val="minor"/>
      </rPr>
      <t xml:space="preserve">all fields </t>
    </r>
    <r>
      <rPr>
        <sz val="11"/>
        <color rgb="FF000000"/>
        <rFont val="Calibri"/>
        <family val="2"/>
        <scheme val="minor"/>
      </rPr>
      <t>for each year from the soybean station.</t>
    </r>
  </si>
  <si>
    <t>Data coming from averages over several years?</t>
  </si>
  <si>
    <t>Data for yield stability?</t>
  </si>
  <si>
    <t xml:space="preserve">Acknowledgement to:
</t>
  </si>
  <si>
    <t xml:space="preserve">Therefore they are a real, practically cultivated crop rotations with specific management and yield data for these fields and years. </t>
  </si>
  <si>
    <t>There are also differences in the management and yield of the other crops</t>
  </si>
  <si>
    <t>Can differences between the rotations be traced back to the presence of the legume alone?</t>
  </si>
  <si>
    <t>Average yields from this data cannot be compared with the data in the rotations!</t>
  </si>
  <si>
    <t>Dr. Rossitza Todorova (Institution: Experimental station of soybean and grain crops, Pavlikeni) and Dr. Anelia Iantcheva (Institution: AgroBioInstitute, Sofia)</t>
  </si>
  <si>
    <t>The rotations are typical in terms of crop choice and managemant for Bulgaria.</t>
  </si>
  <si>
    <t>Ploughing (25 cm depth), DATE:25.08.2015</t>
  </si>
  <si>
    <t>Ploughing 25 cm, DATE:10.10.2017</t>
  </si>
  <si>
    <t>Ploughing 30 cm, DATE:5.10.2018</t>
  </si>
  <si>
    <t>Disc harrow, DATE:2.09.2015</t>
  </si>
  <si>
    <t>Disc harrow, DATE:10.08.2016</t>
  </si>
  <si>
    <t>Harrowing, DATE:1.04.2018</t>
  </si>
  <si>
    <t>Harrowing, DATE:5-6.04.2019</t>
  </si>
  <si>
    <t>Pneumatic seed drill, DATE:04.09.2015</t>
  </si>
  <si>
    <t>Mehanic seed drill, DATE:5.10.2016</t>
  </si>
  <si>
    <t>Pneumatic seed drill, DATE:6.04.2018</t>
  </si>
  <si>
    <t>Pneumatic seed drill, DATE:8.04.2019</t>
  </si>
  <si>
    <t>Mechanic seed drill, DATE:5.10.2016</t>
  </si>
  <si>
    <t>1, DATE:1.09.2015</t>
  </si>
  <si>
    <t>1, DATE:5.03.2017</t>
  </si>
  <si>
    <t>1, DATE:2.05.2018</t>
  </si>
  <si>
    <t>1, DATE:10.05.2019</t>
  </si>
  <si>
    <t>1, DATE:1.10.2016</t>
  </si>
  <si>
    <t>1, DATE:5.10.2017</t>
  </si>
  <si>
    <t>1, DATE:2.10.2018</t>
  </si>
  <si>
    <t>1, DATE:4.04.2018</t>
  </si>
  <si>
    <t>1, DATE:6.04.2019</t>
  </si>
  <si>
    <t>1, DATE:1.03.2016</t>
  </si>
  <si>
    <t>1, DATE:8.04.2016</t>
  </si>
  <si>
    <t>1, DATE:5.05.2018</t>
  </si>
  <si>
    <t>1, DATE:3.05.2019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</si>
  <si>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</si>
  <si>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1, DATE:10.09.2015</t>
  </si>
  <si>
    <t>1, DATE:2.04.2017</t>
  </si>
  <si>
    <t>1, DATE:8.04.2018</t>
  </si>
  <si>
    <t>1, DATE:10.04.2019</t>
  </si>
  <si>
    <t>1, DATE:7.10.2015</t>
  </si>
  <si>
    <t>2, DATE:5.03.2016</t>
  </si>
  <si>
    <t>1, DATE:10.04.2017</t>
  </si>
  <si>
    <t>1, DATE:15.05.2018</t>
  </si>
  <si>
    <t>1, DATE:2.04.2016</t>
  </si>
  <si>
    <t>1, DATE:3.05.2017</t>
  </si>
  <si>
    <t>1, DATE:12.05.2017</t>
  </si>
  <si>
    <t>Combine harvester, DATE:27.06.2016</t>
  </si>
  <si>
    <t>Combine harvester, DATE:4.07.2017</t>
  </si>
  <si>
    <t>Combine harvester, DATE:3.09.2018</t>
  </si>
  <si>
    <t>Combine harvester, DATE:10.09.2019</t>
  </si>
  <si>
    <t>Disc harrow -3-4 way, DATE:12.07.2017-20. 09.2016</t>
  </si>
  <si>
    <t>Ploughing 30 cm, DATE:20.10.2019</t>
  </si>
  <si>
    <t>Ploughing (25 cm depth), DATE:20.10.2015</t>
  </si>
  <si>
    <t>Ploughing 25 cm, DATE:20.08.2017</t>
  </si>
  <si>
    <t>Disc harrow, DATE:5-15.04.2016</t>
  </si>
  <si>
    <t>Disc harrow, DATE:10-20.09.2016</t>
  </si>
  <si>
    <t>Disc harrow, DATE:1-2.04.2018</t>
  </si>
  <si>
    <t>Disc harrow, DATE:15.09.2018</t>
  </si>
  <si>
    <t>Pneumatic seed drill, DATE:18.04.2016</t>
  </si>
  <si>
    <t>Meehanc seed drill, DATE: 29.09.2016</t>
  </si>
  <si>
    <t>Pneumatic seed drill, DATE:5. 04.2018</t>
  </si>
  <si>
    <t>Meehanc seed drill, DATE:3.10.2018</t>
  </si>
  <si>
    <t>1, DATE:2.03.2016</t>
  </si>
  <si>
    <t>1, DATE:3.03.2019</t>
  </si>
  <si>
    <t>1, DATE:20.04.2016</t>
  </si>
  <si>
    <t>1, DATE:3.05.2018</t>
  </si>
  <si>
    <t>1, DATE:30.03.2019</t>
  </si>
  <si>
    <t>1, DATE:15.05.2016</t>
  </si>
  <si>
    <t>1, DATE:22.05.2016</t>
  </si>
  <si>
    <t>1, DATE:2.05.2017</t>
  </si>
  <si>
    <t>1, DATE:18.04.2019</t>
  </si>
  <si>
    <t>Combine harvester, DATE:28.08.2016</t>
  </si>
  <si>
    <t>Combine harvester, DATE:28.06.2017</t>
  </si>
  <si>
    <t>Combine harvester, DATE:20.08.2018</t>
  </si>
  <si>
    <t>Combine harvester, DATE:3.07.2019</t>
  </si>
  <si>
    <t>Ploughing 20 cm, DATE:15.09.2018</t>
  </si>
  <si>
    <t>Ploughing 25 cm, DATE:1.10.2019</t>
  </si>
  <si>
    <t>These are actual crop rotations in the fields from the production years 2015-2019 and are not representative for a longer time period.</t>
  </si>
  <si>
    <t>2015-2019</t>
  </si>
  <si>
    <t>Winter wheat</t>
  </si>
  <si>
    <t>Sunflower</t>
  </si>
  <si>
    <t>Soybean</t>
  </si>
  <si>
    <t>Maize</t>
  </si>
  <si>
    <t>Winter rape</t>
  </si>
  <si>
    <t>2018/2019</t>
  </si>
  <si>
    <t>2016/2017</t>
  </si>
  <si>
    <t>2015/2016</t>
  </si>
  <si>
    <t xml:space="preserve">With legumes: </t>
  </si>
  <si>
    <t xml:space="preserve">Without legumes: </t>
  </si>
  <si>
    <t>Crop 4</t>
  </si>
  <si>
    <t>Crop 3</t>
  </si>
  <si>
    <t>Crop 2</t>
  </si>
  <si>
    <t>Crop 1</t>
  </si>
  <si>
    <t>Content N</t>
  </si>
  <si>
    <t>N fertilizers</t>
  </si>
  <si>
    <t>Yield DM</t>
  </si>
  <si>
    <t>Legume</t>
  </si>
  <si>
    <t>Leaf crop</t>
  </si>
  <si>
    <t>Cereal crop</t>
  </si>
  <si>
    <t>With legumes</t>
  </si>
  <si>
    <t>Without legumes</t>
  </si>
  <si>
    <t>ln pi x pi</t>
  </si>
  <si>
    <t>ln pi</t>
  </si>
  <si>
    <t>pi</t>
  </si>
  <si>
    <t>Share in crop rotation</t>
  </si>
  <si>
    <t>Crop species</t>
  </si>
  <si>
    <t>Hmax:</t>
  </si>
  <si>
    <t>Hmax=ln S</t>
  </si>
  <si>
    <t>HS = - ∑pi ln pi</t>
  </si>
  <si>
    <t>Crop diversity</t>
  </si>
  <si>
    <t>Protein yield [kg/ha]</t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</si>
  <si>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</si>
  <si>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</si>
  <si>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t>Mineral fertilizer input [kg/ha]</t>
  </si>
  <si>
    <t>N fertilizer use [kg/ha]</t>
  </si>
  <si>
    <t>NO3 leaching [kg/ha]</t>
  </si>
  <si>
    <t>GM with CO2 tax II</t>
  </si>
  <si>
    <t>GM with CO2 tax I</t>
  </si>
  <si>
    <t>Gross margin (prices feed calculator)</t>
  </si>
  <si>
    <t>Coefficient of variation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</si>
  <si>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</si>
  <si>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</si>
  <si>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</si>
  <si>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</si>
  <si>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</si>
  <si>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</si>
  <si>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</si>
  <si>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</si>
  <si>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</si>
  <si>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</si>
  <si>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</si>
  <si>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</si>
  <si>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</si>
  <si>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</si>
  <si>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</si>
  <si>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</si>
  <si>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</si>
  <si>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</si>
  <si>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</si>
  <si>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</si>
  <si>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</si>
  <si>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</si>
  <si>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</si>
  <si>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</si>
  <si>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</si>
  <si>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</si>
  <si>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</si>
  <si>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</si>
  <si>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</si>
  <si>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</si>
  <si>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</si>
  <si>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</si>
  <si>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</si>
  <si>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</si>
  <si>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Winter barley</t>
  </si>
  <si>
    <t>Winter oat</t>
  </si>
  <si>
    <t>Spring barley</t>
  </si>
  <si>
    <t>Field pea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</si>
  <si>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</si>
  <si>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</si>
  <si>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</si>
  <si>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</si>
  <si>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</si>
  <si>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</si>
  <si>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</si>
  <si>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</si>
  <si>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</si>
  <si>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</si>
  <si>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</si>
  <si>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</si>
  <si>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</si>
  <si>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</si>
  <si>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</si>
  <si>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</si>
  <si>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</si>
  <si>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</si>
  <si>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</si>
  <si>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</si>
  <si>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</si>
  <si>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</si>
  <si>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</si>
  <si>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</si>
  <si>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</si>
  <si>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</si>
  <si>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</si>
  <si>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</si>
  <si>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IPCCID</t>
  </si>
  <si>
    <t>Faba bean</t>
  </si>
  <si>
    <t>Dry bean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</si>
  <si>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</si>
  <si>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</si>
  <si>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</si>
  <si>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</si>
  <si>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</si>
  <si>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</si>
  <si>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</si>
  <si>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</si>
  <si>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</si>
  <si>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</si>
  <si>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Yield FM [t/ha]</t>
  </si>
  <si>
    <t>DM content</t>
  </si>
  <si>
    <t>Yield DM [t/ha]</t>
  </si>
  <si>
    <t>Crude protein [% DM]</t>
  </si>
  <si>
    <t>Protein output [t/ha]</t>
  </si>
  <si>
    <t>Protein output rotations [kg/ha]</t>
  </si>
  <si>
    <t>Gross energy [GJ/t DM]</t>
  </si>
  <si>
    <t xml:space="preserve">Energy output rotations [GJ/ha] 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</si>
  <si>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</si>
  <si>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</si>
  <si>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</si>
  <si>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</si>
  <si>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</si>
  <si>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</si>
  <si>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</si>
  <si>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</si>
  <si>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</si>
  <si>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</si>
  <si>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</si>
  <si>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</si>
  <si>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</si>
  <si>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</si>
  <si>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</si>
  <si>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</si>
  <si>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</si>
  <si>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</si>
  <si>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</si>
  <si>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</si>
  <si>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</si>
  <si>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</si>
  <si>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</si>
  <si>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</si>
  <si>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</si>
  <si>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</si>
  <si>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</si>
  <si>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</si>
  <si>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</si>
  <si>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NPK (A)</t>
  </si>
  <si>
    <t>NPK (B)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</si>
  <si>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</si>
  <si>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</si>
  <si>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</si>
  <si>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</si>
  <si>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Nfix [kg/ha]</t>
  </si>
  <si>
    <t>Calculations</t>
  </si>
  <si>
    <t>-&gt; valid for non-legumes</t>
  </si>
  <si>
    <t>-&gt; valid for legumes and non-legumes</t>
  </si>
  <si>
    <t>(N input encloses additional N from seed)</t>
  </si>
  <si>
    <t>Gross margin (standard) [€/ha]</t>
  </si>
  <si>
    <t xml:space="preserve"> N leaching= N surplus * Leaching probability * N leach_corr</t>
  </si>
  <si>
    <t>N surplus = N input + Nminpa - N dfs</t>
  </si>
  <si>
    <t>N surplus = N minfert + N manure P + Nminpa - N dfs</t>
  </si>
  <si>
    <t xml:space="preserve">N dfs is the nitrogen derived from soil </t>
  </si>
  <si>
    <t>N dfs = N uptake + N fix</t>
  </si>
  <si>
    <t>-&gt; N uptake is the N accumulated by the crop and N fix is BNF of grain and forage legumes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</si>
</sst>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"/>
    <numFmt numFmtId="166" formatCode="0.0"/>
    <numFmt numFmtId="167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</cellStyleXfs>
  <cellXfs count="27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8" borderId="0" xfId="0" applyFill="1" applyBorder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9" borderId="19" xfId="0" applyFont="1" applyFill="1" applyBorder="1"/>
    <xf numFmtId="0" fontId="3" fillId="9" borderId="14" xfId="0" applyFont="1" applyFill="1" applyBorder="1"/>
    <xf numFmtId="0" fontId="0" fillId="3" borderId="19" xfId="0" applyFill="1" applyBorder="1"/>
    <xf numFmtId="0" fontId="0" fillId="3" borderId="34" xfId="0" applyFill="1" applyBorder="1"/>
    <xf numFmtId="0" fontId="0" fillId="3" borderId="8" xfId="0" applyFill="1" applyBorder="1"/>
    <xf numFmtId="0" fontId="0" fillId="6" borderId="47" xfId="0" applyFill="1" applyBorder="1"/>
    <xf numFmtId="0" fontId="0" fillId="6" borderId="34" xfId="0" applyFill="1" applyBorder="1"/>
    <xf numFmtId="0" fontId="3" fillId="4" borderId="47" xfId="0" applyFont="1" applyFill="1" applyBorder="1"/>
    <xf numFmtId="0" fontId="0" fillId="4" borderId="34" xfId="0" applyFill="1" applyBorder="1" applyAlignment="1">
      <alignment wrapText="1"/>
    </xf>
    <xf numFmtId="0" fontId="0" fillId="0" borderId="18" xfId="0" applyBorder="1" applyAlignment="1"/>
    <xf numFmtId="0" fontId="0" fillId="9" borderId="34" xfId="0" applyFill="1" applyBorder="1"/>
    <xf numFmtId="0" fontId="0" fillId="3" borderId="47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4" xfId="0" applyFont="1" applyFill="1" applyBorder="1" applyAlignment="1"/>
    <xf numFmtId="0" fontId="0" fillId="8" borderId="54" xfId="0" applyFill="1" applyBorder="1"/>
    <xf numFmtId="0" fontId="3" fillId="9" borderId="56" xfId="0" applyFont="1" applyFill="1" applyBorder="1"/>
    <xf numFmtId="0" fontId="0" fillId="9" borderId="55" xfId="0" applyFill="1" applyBorder="1"/>
    <xf numFmtId="0" fontId="0" fillId="8" borderId="1" xfId="0" applyFill="1" applyBorder="1"/>
    <xf numFmtId="0" fontId="0" fillId="8" borderId="36" xfId="0" applyFill="1" applyBorder="1"/>
    <xf numFmtId="0" fontId="1" fillId="0" borderId="0" xfId="0" applyFont="1" applyAlignment="1">
      <alignment horizont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Alignment="1"/>
    <xf numFmtId="0" fontId="4" fillId="0" borderId="0" xfId="0" applyFont="1"/>
    <xf numFmtId="0" fontId="1" fillId="0" borderId="0" xfId="0" applyFont="1" applyAlignment="1"/>
    <xf numFmtId="0" fontId="3" fillId="8" borderId="0" xfId="0" applyFont="1" applyFill="1" applyAlignment="1"/>
    <xf numFmtId="0" fontId="3" fillId="8" borderId="0" xfId="0" applyFont="1" applyFill="1" applyBorder="1" applyAlignment="1"/>
    <xf numFmtId="0" fontId="3" fillId="8" borderId="1" xfId="0" applyFont="1" applyFill="1" applyBorder="1" applyAlignment="1"/>
    <xf numFmtId="0" fontId="3" fillId="8" borderId="10" xfId="0" applyFont="1" applyFill="1" applyBorder="1" applyAlignment="1"/>
    <xf numFmtId="0" fontId="3" fillId="8" borderId="36" xfId="0" applyFont="1" applyFill="1" applyBorder="1" applyAlignment="1"/>
    <xf numFmtId="0" fontId="3" fillId="8" borderId="0" xfId="0" applyFont="1" applyFill="1"/>
    <xf numFmtId="0" fontId="3" fillId="8" borderId="0" xfId="0" applyFont="1" applyFill="1" applyBorder="1"/>
    <xf numFmtId="0" fontId="3" fillId="3" borderId="3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0" xfId="0" applyFont="1" applyFill="1" applyBorder="1" applyAlignment="1"/>
    <xf numFmtId="0" fontId="3" fillId="3" borderId="45" xfId="0" applyFont="1" applyFill="1" applyBorder="1" applyAlignment="1">
      <alignment horizontal="center"/>
    </xf>
    <xf numFmtId="9" fontId="3" fillId="3" borderId="33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3" fillId="3" borderId="5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59" xfId="0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10" xfId="0" applyFont="1" applyFill="1" applyBorder="1"/>
    <xf numFmtId="0" fontId="3" fillId="4" borderId="3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8" borderId="30" xfId="0" applyFont="1" applyFill="1" applyBorder="1"/>
    <xf numFmtId="0" fontId="3" fillId="8" borderId="29" xfId="0" applyFont="1" applyFill="1" applyBorder="1"/>
    <xf numFmtId="0" fontId="3" fillId="8" borderId="7" xfId="0" applyFont="1" applyFill="1" applyBorder="1"/>
    <xf numFmtId="0" fontId="3" fillId="0" borderId="0" xfId="0" applyFont="1"/>
    <xf numFmtId="0" fontId="0" fillId="0" borderId="0" xfId="0" applyNumberFormat="1"/>
    <xf numFmtId="9" fontId="0" fillId="0" borderId="0" xfId="0" applyNumberFormat="1"/>
    <xf numFmtId="0" fontId="9" fillId="0" borderId="0" xfId="2" applyFont="1" applyFill="1" applyBorder="1" applyAlignment="1"/>
    <xf numFmtId="0" fontId="9" fillId="0" borderId="0" xfId="2" applyFont="1" applyFill="1" applyBorder="1" applyAlignment="1">
      <alignment wrapText="1"/>
    </xf>
    <xf numFmtId="165" fontId="0" fillId="0" borderId="0" xfId="0" applyNumberFormat="1"/>
    <xf numFmtId="0" fontId="9" fillId="0" borderId="0" xfId="3" applyFont="1" applyFill="1" applyBorder="1" applyAlignment="1">
      <alignment wrapText="1"/>
    </xf>
    <xf numFmtId="166" fontId="0" fillId="0" borderId="0" xfId="0" applyNumberFormat="1"/>
    <xf numFmtId="0" fontId="9" fillId="0" borderId="3" xfId="4" applyFont="1" applyFill="1" applyBorder="1" applyAlignment="1">
      <alignment horizontal="right" wrapText="1"/>
    </xf>
    <xf numFmtId="0" fontId="9" fillId="0" borderId="3" xfId="4" applyFont="1" applyFill="1" applyBorder="1" applyAlignment="1">
      <alignment horizontal="left" wrapText="1"/>
    </xf>
    <xf numFmtId="9" fontId="0" fillId="0" borderId="0" xfId="1" applyFont="1"/>
    <xf numFmtId="0" fontId="0" fillId="0" borderId="7" xfId="0" applyBorder="1"/>
    <xf numFmtId="0" fontId="0" fillId="0" borderId="30" xfId="0" applyBorder="1"/>
    <xf numFmtId="0" fontId="1" fillId="0" borderId="6" xfId="0" applyFont="1" applyBorder="1"/>
    <xf numFmtId="0" fontId="1" fillId="0" borderId="30" xfId="0" applyFont="1" applyBorder="1"/>
    <xf numFmtId="0" fontId="0" fillId="11" borderId="0" xfId="0" applyFill="1"/>
    <xf numFmtId="0" fontId="1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0" fillId="0" borderId="29" xfId="0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 wrapText="1"/>
    </xf>
    <xf numFmtId="164" fontId="0" fillId="0" borderId="62" xfId="0" applyNumberFormat="1" applyFill="1" applyBorder="1" applyAlignment="1">
      <alignment horizontal="center" vertical="center" wrapText="1"/>
    </xf>
    <xf numFmtId="0" fontId="0" fillId="12" borderId="0" xfId="0" applyFill="1"/>
    <xf numFmtId="0" fontId="11" fillId="0" borderId="0" xfId="0" applyFont="1" applyBorder="1"/>
    <xf numFmtId="0" fontId="1" fillId="0" borderId="0" xfId="0" applyFont="1" applyFill="1" applyBorder="1"/>
    <xf numFmtId="0" fontId="9" fillId="0" borderId="63" xfId="4" applyFont="1" applyFill="1" applyBorder="1" applyAlignment="1">
      <alignment horizontal="right" wrapText="1"/>
    </xf>
    <xf numFmtId="0" fontId="9" fillId="0" borderId="64" xfId="2" applyFont="1" applyFill="1" applyBorder="1" applyAlignment="1">
      <alignment wrapText="1"/>
    </xf>
    <xf numFmtId="0" fontId="9" fillId="0" borderId="64" xfId="3" applyFont="1" applyFill="1" applyBorder="1" applyAlignment="1">
      <alignment wrapText="1"/>
    </xf>
    <xf numFmtId="1" fontId="0" fillId="0" borderId="0" xfId="0" applyNumberFormat="1"/>
    <xf numFmtId="0" fontId="1" fillId="13" borderId="0" xfId="0" applyFont="1" applyFill="1"/>
    <xf numFmtId="167" fontId="0" fillId="0" borderId="0" xfId="0" applyNumberFormat="1"/>
    <xf numFmtId="166" fontId="0" fillId="0" borderId="0" xfId="0" applyNumberFormat="1" applyFill="1" applyBorder="1"/>
    <xf numFmtId="0" fontId="0" fillId="9" borderId="0" xfId="0" applyFill="1"/>
    <xf numFmtId="0" fontId="0" fillId="9" borderId="0" xfId="0" applyFill="1" applyBorder="1"/>
    <xf numFmtId="2" fontId="14" fillId="0" borderId="66" xfId="0" applyNumberFormat="1" applyFont="1" applyFill="1" applyBorder="1" applyAlignment="1" applyProtection="1">
      <alignment horizontal="right" vertical="center" wrapText="1"/>
    </xf>
    <xf numFmtId="1" fontId="14" fillId="0" borderId="65" xfId="0" applyNumberFormat="1" applyFont="1" applyFill="1" applyBorder="1" applyAlignment="1" applyProtection="1">
      <alignment horizontal="right" vertical="center" wrapText="1"/>
    </xf>
    <xf numFmtId="2" fontId="9" fillId="0" borderId="67" xfId="5" applyNumberFormat="1" applyFont="1" applyFill="1" applyBorder="1" applyAlignment="1">
      <alignment horizontal="right" wrapText="1"/>
    </xf>
    <xf numFmtId="2" fontId="9" fillId="0" borderId="68" xfId="5" applyNumberFormat="1" applyFont="1" applyFill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/>
    </xf>
    <xf numFmtId="0" fontId="3" fillId="9" borderId="51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/>
    </xf>
    <xf numFmtId="0" fontId="3" fillId="6" borderId="43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0" fontId="3" fillId="3" borderId="58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3" fillId="3" borderId="40" xfId="0" applyFont="1" applyFill="1" applyBorder="1" applyAlignment="1">
      <alignment horizontal="center" wrapText="1"/>
    </xf>
    <xf numFmtId="0" fontId="3" fillId="3" borderId="40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14" fontId="3" fillId="6" borderId="36" xfId="0" applyNumberFormat="1" applyFont="1" applyFill="1" applyBorder="1" applyAlignment="1">
      <alignment horizontal="center"/>
    </xf>
    <xf numFmtId="0" fontId="3" fillId="4" borderId="37" xfId="0" quotePrefix="1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3" fillId="6" borderId="53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35" xfId="0" quotePrefix="1" applyFont="1" applyFill="1" applyBorder="1" applyAlignment="1">
      <alignment horizontal="center"/>
    </xf>
    <xf numFmtId="0" fontId="3" fillId="3" borderId="36" xfId="0" quotePrefix="1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52" xfId="0" applyFill="1" applyBorder="1" applyAlignment="1">
      <alignment horizontal="left" wrapText="1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6" borderId="60" xfId="0" applyFont="1" applyFill="1" applyBorder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6">
    <cellStyle name="Prozent" xfId="1" builtinId="5"/>
    <cellStyle name="Standard" xfId="0" builtinId="0"/>
    <cellStyle name="Standard_arable-legume" xfId="4"/>
    <cellStyle name="Standard_Input data crop_1" xfId="5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9900"/>
      <color rgb="FF996600"/>
      <color rgb="FFCCCCFF"/>
      <color rgb="FFCC99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1" sqref="H1:I1"/>
    </sheetView>
  </sheetViews>
  <sheetFormatPr baseColWidth="10" defaultColWidth="11.42578125" defaultRowHeight="15" x14ac:dyDescent="0.25"/>
  <cols>
    <col min="1" max="1" width="17.42578125" style="5" bestFit="1" customWidth="1"/>
    <col min="2" max="4" width="11.42578125" style="5"/>
    <col min="5" max="5" width="13.140625" style="5" bestFit="1" customWidth="1"/>
    <col min="6" max="9" width="11.42578125" style="5"/>
    <col min="10" max="10" width="11.42578125" style="5" hidden="1" customWidth="1"/>
    <col min="11" max="12" width="11.42578125" style="5"/>
    <col min="13" max="13" width="11.42578125" style="5" hidden="1" customWidth="1"/>
    <col min="14" max="14" width="11.42578125" style="5"/>
    <col min="15" max="16" width="11.7109375" style="5" bestFit="1" customWidth="1"/>
    <col min="17" max="17" width="13.85546875" style="5" bestFit="1" customWidth="1"/>
    <col min="18" max="16384" width="11.42578125" style="5"/>
  </cols>
  <sheetData>
    <row r="1" spans="1:18" ht="76.5" x14ac:dyDescent="0.35">
      <c r="B1" s="5" t="s">
        <v>310</v>
      </c>
      <c r="C1" s="5" t="s">
        <v>309</v>
      </c>
      <c r="D1" s="5" t="s">
        <v>308</v>
      </c>
      <c r="E1" s="5" t="s">
        <v>307</v>
      </c>
      <c r="F1" s="119" t="s">
        <v>465</v>
      </c>
      <c r="G1" s="119" t="s">
        <v>336</v>
      </c>
      <c r="H1" s="136" t="s">
        <v>335</v>
      </c>
      <c r="I1" s="136" t="s">
        <v>334</v>
      </c>
      <c r="J1" s="118" t="s">
        <v>330</v>
      </c>
      <c r="K1" s="118" t="s">
        <v>333</v>
      </c>
      <c r="L1" s="118" t="s">
        <v>332</v>
      </c>
      <c r="M1" s="118" t="s">
        <v>331</v>
      </c>
      <c r="N1" s="118" t="s">
        <v>329</v>
      </c>
      <c r="O1" s="118" t="s">
        <v>338</v>
      </c>
      <c r="P1" s="118" t="s">
        <v>328</v>
      </c>
      <c r="Q1" s="136" t="s">
        <v>416</v>
      </c>
      <c r="R1" s="118" t="s">
        <v>327</v>
      </c>
    </row>
    <row r="2" spans="1:18" x14ac:dyDescent="0.25">
      <c r="A2" s="5" t="s">
        <v>306</v>
      </c>
      <c r="B2" s="5" t="s">
        <v>301</v>
      </c>
      <c r="C2" s="5" t="s">
        <v>297</v>
      </c>
      <c r="D2" s="5" t="s">
        <v>298</v>
      </c>
      <c r="E2" s="5" t="s">
        <v>300</v>
      </c>
      <c r="F2" s="139">
        <f>GM!B15</f>
        <v>656</v>
      </c>
      <c r="G2" s="139"/>
      <c r="H2" s="139">
        <f>F2-(0.15*J2)</f>
        <v>554.79215975</v>
      </c>
      <c r="I2" s="139">
        <f>F2-(0.05*J2)</f>
        <v>622.26405324999996</v>
      </c>
      <c r="J2" s="139">
        <f>M2*5.62</f>
        <v>674.71893499999999</v>
      </c>
      <c r="K2" s="139">
        <f>'NO3'!K7</f>
        <v>22.345356285714299</v>
      </c>
      <c r="L2" s="139">
        <f>'N fertilizer'!B28</f>
        <v>120.05674999999999</v>
      </c>
      <c r="M2" s="139">
        <v>120.05674999999999</v>
      </c>
      <c r="N2" s="117">
        <f>'N2O calculations'!A31/4</f>
        <v>4.0548169948673465</v>
      </c>
      <c r="O2" s="112">
        <f>'Data for yield stability'!H24</f>
        <v>0.14436190802666307</v>
      </c>
      <c r="P2" s="139">
        <f>'Protein &amp; Energy Output'!C15</f>
        <v>627.87824999999998</v>
      </c>
      <c r="Q2" s="139">
        <f>'Protein &amp; Energy Output'!B20</f>
        <v>102.54431249999999</v>
      </c>
      <c r="R2" s="67">
        <f>'Crop diversity'!E16</f>
        <v>0.63417863600000002</v>
      </c>
    </row>
    <row r="3" spans="1:18" x14ac:dyDescent="0.25">
      <c r="A3" s="5" t="s">
        <v>305</v>
      </c>
      <c r="B3" s="5" t="s">
        <v>299</v>
      </c>
      <c r="C3" s="5" t="s">
        <v>297</v>
      </c>
      <c r="D3" s="5" t="s">
        <v>298</v>
      </c>
      <c r="E3" s="5" t="s">
        <v>297</v>
      </c>
      <c r="F3" s="139">
        <f>GM!I15</f>
        <v>642.5</v>
      </c>
      <c r="G3" s="139"/>
      <c r="H3" s="139">
        <f>F3-(0.15*J3)</f>
        <v>596.24037499999997</v>
      </c>
      <c r="I3" s="139">
        <f>F3-(0.05*J3)</f>
        <v>627.08012499999995</v>
      </c>
      <c r="J3" s="139">
        <f>M3*5.62</f>
        <v>308.39749999999998</v>
      </c>
      <c r="K3" s="139">
        <f>'NO3'!K13</f>
        <v>19.5316245403945</v>
      </c>
      <c r="L3" s="139">
        <f>'N fertilizer'!I18</f>
        <v>54.875</v>
      </c>
      <c r="M3" s="139">
        <v>54.875</v>
      </c>
      <c r="N3" s="117">
        <f>'N2O calculations'!H31/4</f>
        <v>2.5945800546982478</v>
      </c>
      <c r="O3" s="112">
        <f>'Data for yield stability'!H25</f>
        <v>0.21850938260146627</v>
      </c>
      <c r="P3" s="139">
        <f>'Protein &amp; Energy Output'!H15</f>
        <v>630.64400000000001</v>
      </c>
      <c r="Q3" s="139">
        <f>'Protein &amp; Energy Output'!G20</f>
        <v>77.023974999999993</v>
      </c>
      <c r="R3" s="67">
        <f>'Crop diversity'!E22</f>
        <v>0.731717332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7" sqref="F7"/>
    </sheetView>
  </sheetViews>
  <sheetFormatPr baseColWidth="10" defaultColWidth="11.42578125" defaultRowHeight="15" x14ac:dyDescent="0.25"/>
  <cols>
    <col min="1" max="16384" width="11.42578125" style="5"/>
  </cols>
  <sheetData>
    <row r="1" spans="1:6" x14ac:dyDescent="0.25">
      <c r="B1" s="5" t="s">
        <v>310</v>
      </c>
      <c r="C1" s="5" t="s">
        <v>309</v>
      </c>
      <c r="D1" s="5" t="s">
        <v>308</v>
      </c>
      <c r="E1" s="5" t="s">
        <v>307</v>
      </c>
    </row>
    <row r="2" spans="1:6" x14ac:dyDescent="0.25">
      <c r="A2" s="5" t="s">
        <v>306</v>
      </c>
      <c r="B2" s="5" t="s">
        <v>301</v>
      </c>
      <c r="C2" s="5" t="s">
        <v>297</v>
      </c>
      <c r="D2" s="5" t="s">
        <v>298</v>
      </c>
      <c r="E2" s="5" t="s">
        <v>300</v>
      </c>
    </row>
    <row r="3" spans="1:6" x14ac:dyDescent="0.25">
      <c r="A3" s="5" t="s">
        <v>305</v>
      </c>
      <c r="B3" s="5" t="s">
        <v>299</v>
      </c>
      <c r="C3" s="5" t="s">
        <v>297</v>
      </c>
      <c r="D3" s="5" t="s">
        <v>298</v>
      </c>
      <c r="E3" s="5" t="s">
        <v>297</v>
      </c>
    </row>
    <row r="7" spans="1:6" x14ac:dyDescent="0.25">
      <c r="A7" s="5" t="s">
        <v>326</v>
      </c>
      <c r="C7" s="5" t="s">
        <v>325</v>
      </c>
      <c r="E7" s="5" t="s">
        <v>324</v>
      </c>
      <c r="F7" s="5">
        <v>1.0986122890000001</v>
      </c>
    </row>
    <row r="11" spans="1:6" x14ac:dyDescent="0.25">
      <c r="A11" s="5" t="s">
        <v>323</v>
      </c>
      <c r="B11" s="5" t="s">
        <v>322</v>
      </c>
      <c r="C11" s="5" t="s">
        <v>321</v>
      </c>
      <c r="D11" s="5" t="s">
        <v>320</v>
      </c>
      <c r="E11" s="5" t="s">
        <v>319</v>
      </c>
    </row>
    <row r="12" spans="1:6" x14ac:dyDescent="0.25">
      <c r="A12" s="5" t="s">
        <v>318</v>
      </c>
    </row>
    <row r="13" spans="1:6" x14ac:dyDescent="0.25">
      <c r="A13" s="5" t="s">
        <v>316</v>
      </c>
      <c r="B13" s="112">
        <f>2/4</f>
        <v>0.5</v>
      </c>
      <c r="C13" s="5">
        <v>0.5</v>
      </c>
      <c r="D13" s="5">
        <f>LN(C13)</f>
        <v>-0.69314718055994529</v>
      </c>
      <c r="E13" s="5">
        <f>C13*D13</f>
        <v>-0.34657359027997264</v>
      </c>
    </row>
    <row r="14" spans="1:6" x14ac:dyDescent="0.25">
      <c r="A14" s="5" t="s">
        <v>315</v>
      </c>
      <c r="B14" s="112">
        <f>2/4</f>
        <v>0.5</v>
      </c>
      <c r="C14" s="5">
        <v>0.5</v>
      </c>
      <c r="D14" s="5">
        <f>LN(C14)</f>
        <v>-0.69314718055994529</v>
      </c>
      <c r="E14" s="5">
        <f>C14*D14</f>
        <v>-0.34657359027997264</v>
      </c>
    </row>
    <row r="15" spans="1:6" x14ac:dyDescent="0.25">
      <c r="A15" s="5" t="s">
        <v>314</v>
      </c>
    </row>
    <row r="16" spans="1:6" x14ac:dyDescent="0.25">
      <c r="E16" s="5">
        <v>0.63417863600000002</v>
      </c>
    </row>
    <row r="18" spans="1:5" x14ac:dyDescent="0.25">
      <c r="A18" s="5" t="s">
        <v>317</v>
      </c>
    </row>
    <row r="19" spans="1:5" x14ac:dyDescent="0.25">
      <c r="A19" s="5" t="s">
        <v>316</v>
      </c>
      <c r="B19" s="112">
        <v>0.5</v>
      </c>
      <c r="C19" s="5">
        <v>0.5</v>
      </c>
      <c r="D19" s="5">
        <f>LN(C19)</f>
        <v>-0.69314718055994529</v>
      </c>
      <c r="E19" s="5">
        <f>C19*D19</f>
        <v>-0.34657359027997264</v>
      </c>
    </row>
    <row r="20" spans="1:5" x14ac:dyDescent="0.25">
      <c r="A20" s="5" t="s">
        <v>315</v>
      </c>
      <c r="B20" s="112">
        <f>1/4</f>
        <v>0.25</v>
      </c>
      <c r="C20" s="5">
        <v>0.25</v>
      </c>
      <c r="D20" s="5">
        <f>LN(C20)</f>
        <v>-1.3862943611198906</v>
      </c>
      <c r="E20" s="5">
        <f>C20*D20</f>
        <v>-0.34657359027997264</v>
      </c>
    </row>
    <row r="21" spans="1:5" x14ac:dyDescent="0.25">
      <c r="A21" s="5" t="s">
        <v>314</v>
      </c>
      <c r="B21" s="112">
        <f>1/4</f>
        <v>0.25</v>
      </c>
      <c r="C21" s="5">
        <v>0.25</v>
      </c>
      <c r="D21" s="5">
        <f>LN(C21)</f>
        <v>-1.3862943611198906</v>
      </c>
      <c r="E21" s="5">
        <f>C21*D21</f>
        <v>-0.34657359027997264</v>
      </c>
    </row>
    <row r="22" spans="1:5" x14ac:dyDescent="0.25">
      <c r="E22" s="5">
        <v>0.731717332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6.5703125" style="5" bestFit="1" customWidth="1"/>
    <col min="2" max="2" width="11.42578125" style="5"/>
    <col min="3" max="3" width="19.28515625" style="5" customWidth="1"/>
    <col min="4" max="8" width="11.42578125" style="5"/>
    <col min="10" max="10" width="19" style="5" bestFit="1" customWidth="1"/>
    <col min="11" max="11" width="17.28515625" style="5" bestFit="1" customWidth="1"/>
    <col min="12" max="16384" width="11.42578125" style="5"/>
  </cols>
  <sheetData>
    <row r="1" spans="1:12" x14ac:dyDescent="0.25">
      <c r="A1" s="6"/>
      <c r="B1" s="140" t="s">
        <v>407</v>
      </c>
      <c r="C1" s="140" t="s">
        <v>408</v>
      </c>
      <c r="D1" s="140" t="s">
        <v>409</v>
      </c>
      <c r="E1" s="140" t="s">
        <v>410</v>
      </c>
      <c r="F1" s="140" t="s">
        <v>411</v>
      </c>
      <c r="G1" s="140" t="s">
        <v>412</v>
      </c>
      <c r="H1" s="140" t="s">
        <v>413</v>
      </c>
      <c r="I1" s="140" t="s">
        <v>460</v>
      </c>
      <c r="J1" s="140" t="s">
        <v>415</v>
      </c>
      <c r="K1" s="140" t="s">
        <v>414</v>
      </c>
    </row>
    <row r="2" spans="1:12" x14ac:dyDescent="0.25">
      <c r="A2" s="6" t="s">
        <v>318</v>
      </c>
      <c r="B2" s="6"/>
      <c r="C2" s="6"/>
      <c r="D2" s="6"/>
      <c r="E2" s="6"/>
      <c r="F2" s="6"/>
      <c r="G2" s="6"/>
      <c r="H2" s="6"/>
      <c r="J2" s="6"/>
      <c r="K2" s="6"/>
    </row>
    <row r="3" spans="1:12" x14ac:dyDescent="0.25">
      <c r="A3" s="5" t="s">
        <v>301</v>
      </c>
      <c r="B3" s="5">
        <v>3.4</v>
      </c>
      <c r="C3" s="139">
        <v>87.53</v>
      </c>
      <c r="D3" s="139"/>
      <c r="E3" s="139">
        <v>87.630464000000003</v>
      </c>
      <c r="F3" s="146">
        <v>96.878571428571405</v>
      </c>
      <c r="G3" s="146">
        <v>156.46358000000001</v>
      </c>
      <c r="H3" s="146">
        <v>27.944991428571502</v>
      </c>
      <c r="I3" s="139">
        <v>0</v>
      </c>
      <c r="J3" s="145">
        <v>0.4</v>
      </c>
      <c r="K3" s="146">
        <v>11.177996571428601</v>
      </c>
      <c r="L3" s="139"/>
    </row>
    <row r="4" spans="1:12" x14ac:dyDescent="0.25">
      <c r="A4" s="5" t="s">
        <v>297</v>
      </c>
      <c r="B4" s="5">
        <v>6.1</v>
      </c>
      <c r="C4" s="139">
        <v>133</v>
      </c>
      <c r="D4" s="139"/>
      <c r="E4" s="139">
        <v>136.0702</v>
      </c>
      <c r="F4" s="146">
        <v>104.951785714286</v>
      </c>
      <c r="G4" s="146">
        <v>134.566</v>
      </c>
      <c r="H4" s="146">
        <v>103.385785714286</v>
      </c>
      <c r="I4" s="139">
        <v>0</v>
      </c>
      <c r="J4" s="145">
        <v>0.4</v>
      </c>
      <c r="K4" s="146">
        <v>41.354314285714302</v>
      </c>
      <c r="L4" s="139"/>
    </row>
    <row r="5" spans="1:12" x14ac:dyDescent="0.25">
      <c r="A5" s="5" t="s">
        <v>298</v>
      </c>
      <c r="B5" s="5">
        <v>4.1500000000000004</v>
      </c>
      <c r="C5" s="146">
        <v>103.6</v>
      </c>
      <c r="D5" s="139"/>
      <c r="E5" s="146">
        <v>103.7456</v>
      </c>
      <c r="F5" s="146">
        <v>113.02500000000001</v>
      </c>
      <c r="G5" s="146">
        <v>208.46279999999999</v>
      </c>
      <c r="H5" s="146">
        <v>8.1621999999999808</v>
      </c>
      <c r="I5" s="139">
        <v>0</v>
      </c>
      <c r="J5" s="145">
        <v>0.4</v>
      </c>
      <c r="K5" s="146">
        <v>3.26487999999999</v>
      </c>
      <c r="L5" s="139"/>
    </row>
    <row r="6" spans="1:12" x14ac:dyDescent="0.25">
      <c r="A6" s="5" t="s">
        <v>300</v>
      </c>
      <c r="B6" s="5">
        <v>7.8</v>
      </c>
      <c r="C6" s="146">
        <v>156.1</v>
      </c>
      <c r="D6" s="139"/>
      <c r="E6" s="146">
        <v>158.57679999999999</v>
      </c>
      <c r="F6" s="146">
        <v>104.951785714286</v>
      </c>
      <c r="G6" s="146">
        <v>177.09119999999999</v>
      </c>
      <c r="H6" s="146">
        <v>83.960585714285699</v>
      </c>
      <c r="I6" s="139">
        <v>0</v>
      </c>
      <c r="J6" s="145">
        <v>0.4</v>
      </c>
      <c r="K6" s="146">
        <v>33.584234285714302</v>
      </c>
      <c r="L6" s="139"/>
    </row>
    <row r="7" spans="1:12" x14ac:dyDescent="0.25">
      <c r="C7" s="139"/>
      <c r="D7" s="139"/>
      <c r="E7" s="139"/>
      <c r="F7" s="139"/>
      <c r="G7" s="139"/>
      <c r="H7" s="139"/>
      <c r="I7" s="139"/>
      <c r="K7" s="139">
        <f>AVERAGE(K3:K6)</f>
        <v>22.345356285714299</v>
      </c>
      <c r="L7" s="139"/>
    </row>
    <row r="8" spans="1:12" x14ac:dyDescent="0.25">
      <c r="A8" s="6" t="s">
        <v>317</v>
      </c>
      <c r="C8" s="139"/>
      <c r="D8" s="139"/>
      <c r="E8" s="139"/>
      <c r="F8" s="139"/>
      <c r="G8" s="139"/>
      <c r="H8" s="139"/>
      <c r="I8" s="139"/>
      <c r="K8" s="139"/>
      <c r="L8" s="139"/>
    </row>
    <row r="9" spans="1:12" x14ac:dyDescent="0.25">
      <c r="A9" s="5" t="s">
        <v>299</v>
      </c>
      <c r="B9" s="5">
        <v>2.2999999999999998</v>
      </c>
      <c r="C9" s="146">
        <v>0</v>
      </c>
      <c r="D9" s="139"/>
      <c r="E9" s="146">
        <v>118.501678362907</v>
      </c>
      <c r="F9" s="146">
        <v>96.878571428571405</v>
      </c>
      <c r="G9" s="146">
        <v>33.2042545960552</v>
      </c>
      <c r="H9" s="146">
        <v>63.674316832516297</v>
      </c>
      <c r="I9" s="146">
        <v>107.51517836290699</v>
      </c>
      <c r="J9" s="145">
        <v>0.4</v>
      </c>
      <c r="K9" s="146">
        <v>25.4697267330065</v>
      </c>
      <c r="L9" s="139"/>
    </row>
    <row r="10" spans="1:12" x14ac:dyDescent="0.25">
      <c r="A10" s="5" t="s">
        <v>297</v>
      </c>
      <c r="B10" s="5">
        <v>4.7</v>
      </c>
      <c r="C10" s="146">
        <v>91</v>
      </c>
      <c r="D10" s="139"/>
      <c r="E10" s="146">
        <v>94.0702</v>
      </c>
      <c r="F10" s="146">
        <v>104.951785714286</v>
      </c>
      <c r="G10" s="146">
        <v>103.682</v>
      </c>
      <c r="H10" s="146">
        <v>92.269785714285703</v>
      </c>
      <c r="I10" s="139">
        <v>0</v>
      </c>
      <c r="J10" s="145">
        <v>0.4</v>
      </c>
      <c r="K10" s="146">
        <v>36.907914285714298</v>
      </c>
      <c r="L10" s="139"/>
    </row>
    <row r="11" spans="1:12" x14ac:dyDescent="0.25">
      <c r="A11" s="5" t="s">
        <v>298</v>
      </c>
      <c r="B11" s="5">
        <v>3.5</v>
      </c>
      <c r="C11" s="146">
        <v>37.5</v>
      </c>
      <c r="D11" s="139"/>
      <c r="E11" s="146">
        <v>37.645600000000002</v>
      </c>
      <c r="F11" s="146">
        <v>113.02500000000001</v>
      </c>
      <c r="G11" s="146">
        <v>175.81200000000001</v>
      </c>
      <c r="H11" s="146">
        <v>-25.286999999999999</v>
      </c>
      <c r="I11" s="139">
        <v>0</v>
      </c>
      <c r="J11" s="145">
        <v>0.4</v>
      </c>
      <c r="K11" s="146">
        <v>0</v>
      </c>
      <c r="L11" s="139"/>
    </row>
    <row r="12" spans="1:12" x14ac:dyDescent="0.25">
      <c r="A12" s="5" t="s">
        <v>297</v>
      </c>
      <c r="B12" s="5">
        <v>6</v>
      </c>
      <c r="C12" s="146">
        <v>91</v>
      </c>
      <c r="D12" s="139"/>
      <c r="E12" s="146">
        <v>94.0702</v>
      </c>
      <c r="F12" s="146">
        <v>80.732142857142904</v>
      </c>
      <c r="G12" s="146">
        <v>132.36000000000001</v>
      </c>
      <c r="H12" s="146">
        <v>39.372142857142897</v>
      </c>
      <c r="I12" s="139">
        <v>0</v>
      </c>
      <c r="J12" s="145">
        <v>0.4</v>
      </c>
      <c r="K12" s="146">
        <v>15.748857142857201</v>
      </c>
      <c r="L12" s="139"/>
    </row>
    <row r="13" spans="1:12" x14ac:dyDescent="0.25">
      <c r="K13" s="139">
        <f>AVERAGE(K9:K12)</f>
        <v>19.5316245403945</v>
      </c>
      <c r="L13" s="139"/>
    </row>
    <row r="14" spans="1:12" x14ac:dyDescent="0.25">
      <c r="K14" s="139"/>
      <c r="L14" s="139"/>
    </row>
    <row r="16" spans="1:12" x14ac:dyDescent="0.25">
      <c r="A16" s="6" t="s">
        <v>461</v>
      </c>
    </row>
    <row r="18" spans="1:5" x14ac:dyDescent="0.25">
      <c r="A18" s="5" t="s">
        <v>466</v>
      </c>
    </row>
    <row r="20" spans="1:5" x14ac:dyDescent="0.25">
      <c r="A20" s="5" t="s">
        <v>467</v>
      </c>
      <c r="D20" s="27" t="s">
        <v>462</v>
      </c>
    </row>
    <row r="22" spans="1:5" x14ac:dyDescent="0.25">
      <c r="A22" s="5" t="s">
        <v>468</v>
      </c>
      <c r="D22" s="27" t="s">
        <v>463</v>
      </c>
    </row>
    <row r="24" spans="1:5" x14ac:dyDescent="0.25">
      <c r="A24" s="5" t="s">
        <v>469</v>
      </c>
    </row>
    <row r="25" spans="1:5" x14ac:dyDescent="0.25">
      <c r="A25" s="5" t="s">
        <v>470</v>
      </c>
      <c r="D25" s="27" t="s">
        <v>471</v>
      </c>
    </row>
    <row r="26" spans="1:5" x14ac:dyDescent="0.25">
      <c r="A26" s="147"/>
      <c r="B26" s="148"/>
      <c r="C26" s="148"/>
      <c r="D26" s="148"/>
      <c r="E26" s="148"/>
    </row>
    <row r="27" spans="1:5" x14ac:dyDescent="0.25">
      <c r="A27" s="5" t="s">
        <v>464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5" workbookViewId="0">
      <selection activeCell="P22" sqref="P22"/>
    </sheetView>
  </sheetViews>
  <sheetFormatPr baseColWidth="10" defaultColWidth="9.140625" defaultRowHeight="15" x14ac:dyDescent="0.25"/>
  <cols>
    <col min="1" max="16384" width="9.140625" style="5"/>
  </cols>
  <sheetData>
    <row r="1" spans="1:20" x14ac:dyDescent="0.25">
      <c r="A1" s="5">
        <f>'N fertilizer'!A1</f>
        <v>0</v>
      </c>
      <c r="B1" s="5" t="str">
        <f>'N fertilizer'!B1</f>
        <v>Crop 1</v>
      </c>
      <c r="C1" s="5" t="str">
        <f>'N fertilizer'!C1</f>
        <v>Crop 2</v>
      </c>
      <c r="D1" s="5" t="str">
        <f>'N fertilizer'!D1</f>
        <v>Crop 3</v>
      </c>
      <c r="E1" s="5" t="str">
        <f>'N fertilizer'!E1</f>
        <v>Crop 4</v>
      </c>
    </row>
    <row r="2" spans="1:20" x14ac:dyDescent="0.25">
      <c r="A2" s="5" t="str">
        <f>'N fertilizer'!A2</f>
        <v xml:space="preserve">Without legumes: </v>
      </c>
      <c r="B2" s="5" t="str">
        <f>'N fertilizer'!B2</f>
        <v>Winter rape</v>
      </c>
      <c r="C2" s="5" t="str">
        <f>'N fertilizer'!C2</f>
        <v>Winter wheat</v>
      </c>
      <c r="D2" s="5" t="str">
        <f>'N fertilizer'!D2</f>
        <v>Sunflower</v>
      </c>
      <c r="E2" s="5" t="str">
        <f>'N fertilizer'!E2</f>
        <v>Maize</v>
      </c>
    </row>
    <row r="3" spans="1:20" x14ac:dyDescent="0.25">
      <c r="A3" s="5" t="str">
        <f>'N fertilizer'!A3</f>
        <v xml:space="preserve">With legumes: </v>
      </c>
      <c r="B3" s="5" t="str">
        <f>'N fertilizer'!B3</f>
        <v>Soybean</v>
      </c>
      <c r="C3" s="5" t="str">
        <f>'N fertilizer'!C3</f>
        <v>Winter wheat</v>
      </c>
      <c r="D3" s="5" t="str">
        <f>'N fertilizer'!D3</f>
        <v>Sunflower</v>
      </c>
      <c r="E3" s="5" t="str">
        <f>'N fertilizer'!E3</f>
        <v>Winter wheat</v>
      </c>
    </row>
    <row r="4" spans="1:20" x14ac:dyDescent="0.25">
      <c r="A4" s="5">
        <f>'N fertilizer'!A4</f>
        <v>0</v>
      </c>
      <c r="B4" s="5">
        <f>'N fertilizer'!B4</f>
        <v>0</v>
      </c>
      <c r="C4" s="5">
        <f>'N fertilizer'!C4</f>
        <v>0</v>
      </c>
      <c r="D4" s="5">
        <f>'N fertilizer'!D4</f>
        <v>0</v>
      </c>
      <c r="E4" s="5">
        <f>'N fertilizer'!E4</f>
        <v>0</v>
      </c>
    </row>
    <row r="6" spans="1:20" x14ac:dyDescent="0.25">
      <c r="A6" s="125" t="s">
        <v>361</v>
      </c>
      <c r="B6" s="5" t="s">
        <v>362</v>
      </c>
    </row>
    <row r="7" spans="1:20" x14ac:dyDescent="0.25">
      <c r="B7" s="37" t="str">
        <f>'N fertilizer'!B7</f>
        <v>Winter rape</v>
      </c>
      <c r="C7" s="37" t="str">
        <f>'N fertilizer'!C7</f>
        <v>Winter wheat</v>
      </c>
      <c r="D7" s="37" t="str">
        <f>'N fertilizer'!D7</f>
        <v>Sunflower</v>
      </c>
      <c r="E7" s="37" t="str">
        <f>'N fertilizer'!E7</f>
        <v>Maize</v>
      </c>
      <c r="F7" s="37"/>
      <c r="G7" s="37"/>
      <c r="I7" s="37" t="str">
        <f>'N fertilizer'!I7</f>
        <v>Soybean</v>
      </c>
      <c r="J7" s="37" t="str">
        <f>'N fertilizer'!J7</f>
        <v>Winter wheat</v>
      </c>
      <c r="K7" s="37" t="str">
        <f>'N fertilizer'!K7</f>
        <v>Sunflower</v>
      </c>
      <c r="L7" s="37" t="str">
        <f>'N fertilizer'!L7</f>
        <v>Winter wheat</v>
      </c>
      <c r="M7" s="37"/>
      <c r="N7" s="37"/>
      <c r="P7" s="37"/>
      <c r="Q7" s="37"/>
      <c r="R7" s="37"/>
      <c r="S7" s="37"/>
      <c r="T7" s="37"/>
    </row>
    <row r="8" spans="1:20" x14ac:dyDescent="0.25">
      <c r="A8" s="37"/>
      <c r="B8" s="126">
        <f>VLOOKUP(B7,'Mapping crops'!$A:$B,2,FALSE)</f>
        <v>1</v>
      </c>
      <c r="C8" s="126">
        <f>VLOOKUP(C7,'Mapping crops'!$A:$B,2,FALSE)</f>
        <v>3</v>
      </c>
      <c r="D8" s="126">
        <f>VLOOKUP(D7,'Mapping crops'!$A:$B,2,FALSE)</f>
        <v>1</v>
      </c>
      <c r="E8" s="126">
        <f>VLOOKUP(E7,'Mapping crops'!$A:$B,2,FALSE)</f>
        <v>7</v>
      </c>
      <c r="F8" s="126"/>
      <c r="G8" s="6"/>
      <c r="H8" s="126"/>
      <c r="I8" s="126">
        <f>VLOOKUP(I7,'Mapping crops'!$A:$B,2,FALSE)</f>
        <v>13</v>
      </c>
      <c r="J8" s="126">
        <f>VLOOKUP(J7,'Mapping crops'!$A:$B,2,FALSE)</f>
        <v>3</v>
      </c>
      <c r="K8" s="126">
        <f>VLOOKUP(K7,'Mapping crops'!$A:$B,2,FALSE)</f>
        <v>1</v>
      </c>
      <c r="L8" s="126">
        <f>VLOOKUP(L7,'Mapping crops'!$A:$B,2,FALSE)</f>
        <v>3</v>
      </c>
      <c r="M8" s="126"/>
      <c r="N8" s="126"/>
      <c r="O8" s="126"/>
      <c r="P8" s="126"/>
      <c r="Q8" s="126"/>
      <c r="R8" s="126"/>
      <c r="S8" s="126"/>
      <c r="T8" s="126"/>
    </row>
    <row r="9" spans="1:20" x14ac:dyDescent="0.25">
      <c r="A9" s="127" t="s">
        <v>363</v>
      </c>
      <c r="B9" s="5">
        <f>IF(ISBLANK('N fertilizer'!B10),0,VLOOKUP('N fertilizer'!B10,'N2O default values'!$I:$J,2,FALSE)*'N fertilizer'!B13)</f>
        <v>1.25</v>
      </c>
      <c r="C9" s="5">
        <f>IF(ISBLANK('N fertilizer'!C10),0,VLOOKUP('N fertilizer'!C10,'N2O default values'!$I:$J,2,FALSE)*'N fertilizer'!C13)</f>
        <v>3.5</v>
      </c>
      <c r="D9" s="5">
        <f>IF(ISBLANK('N fertilizer'!D10),0,VLOOKUP('N fertilizer'!D10,'N2O default values'!$I:$J,2,FALSE)*'N fertilizer'!D13)</f>
        <v>3.5</v>
      </c>
      <c r="E9" s="5">
        <f>IF(ISBLANK('N fertilizer'!E10),0,VLOOKUP('N fertilizer'!E10,'N2O default values'!$I:$J,2,FALSE)*'N fertilizer'!E13)</f>
        <v>6.125</v>
      </c>
      <c r="I9" s="5">
        <f>IF(ISBLANK('N fertilizer'!I10),0,VLOOKUP('N fertilizer'!I10,'N2O default values'!$I:$J,2,FALSE)*'N fertilizer'!I13)</f>
        <v>0</v>
      </c>
      <c r="J9" s="5">
        <f>IF(ISBLANK('N fertilizer'!J10),0,VLOOKUP('N fertilizer'!J10,'N2O default values'!$I:$J,2,FALSE)*'N fertilizer'!J13)</f>
        <v>4.55</v>
      </c>
      <c r="K9" s="5">
        <f>IF(ISBLANK('N fertilizer'!K10),0,VLOOKUP('N fertilizer'!K10,'N2O default values'!$I:$J,2,FALSE)*'N fertilizer'!K13)</f>
        <v>1.875</v>
      </c>
      <c r="L9" s="5">
        <f>IF(ISBLANK('N fertilizer'!L10),0,VLOOKUP('N fertilizer'!L10,'N2O default values'!$I:$J,2,FALSE)*'N fertilizer'!L13)</f>
        <v>4.55</v>
      </c>
    </row>
    <row r="10" spans="1:20" x14ac:dyDescent="0.25">
      <c r="A10" s="127" t="s">
        <v>363</v>
      </c>
      <c r="B10" s="5">
        <f>IF(ISBLANK('N fertilizer'!B15),0,VLOOKUP('N fertilizer'!B15,'N2O default values'!$I:$J,2,FALSE)*'N fertilizer'!B18)</f>
        <v>6.875</v>
      </c>
      <c r="C10" s="5">
        <f>IF(ISBLANK('N fertilizer'!C15),0,VLOOKUP('N fertilizer'!C15,'N2O default values'!$I:$J,2,FALSE)*'N fertilizer'!C18)</f>
        <v>5.04</v>
      </c>
      <c r="D10" s="5">
        <f>IF(ISBLANK('N fertilizer'!D15),0,VLOOKUP('N fertilizer'!D15,'N2O default values'!$I:$J,2,FALSE)*'N fertilizer'!D18)</f>
        <v>1.6800000000000002</v>
      </c>
      <c r="E10" s="5">
        <f>IF(ISBLANK('N fertilizer'!E15),0,VLOOKUP('N fertilizer'!E15,'N2O default values'!$I:$J,2,FALSE)*'N fertilizer'!E18)</f>
        <v>1.6800000000000002</v>
      </c>
      <c r="I10" s="5">
        <f>IF(ISBLANK('N fertilizer'!I15),0,VLOOKUP('N fertilizer'!I15,'N2O default values'!$I:$J,2,FALSE)*'N fertilizer'!I18)</f>
        <v>0</v>
      </c>
      <c r="J10" s="5">
        <f>IF(ISBLANK('N fertilizer'!J15),0,VLOOKUP('N fertilizer'!J15,'N2O default values'!$I:$J,2,FALSE)*'N fertilizer'!J18)</f>
        <v>0</v>
      </c>
      <c r="K10" s="5">
        <f>IF(ISBLANK('N fertilizer'!K15),0,VLOOKUP('N fertilizer'!K15,'N2O default values'!$I:$J,2,FALSE)*'N fertilizer'!K18)</f>
        <v>0</v>
      </c>
      <c r="L10" s="5">
        <f>IF(ISBLANK('N fertilizer'!L15),0,VLOOKUP('N fertilizer'!L15,'N2O default values'!$I:$J,2,FALSE)*'N fertilizer'!L18)</f>
        <v>0</v>
      </c>
    </row>
    <row r="11" spans="1:20" x14ac:dyDescent="0.25">
      <c r="A11" s="127" t="s">
        <v>363</v>
      </c>
      <c r="B11" s="5">
        <f>IF(ISBLANK('N fertilizer'!B20),0,VLOOKUP('N fertilizer'!B20,'N2O default values'!$I:$J,2,FALSE)*'N fertilizer'!B23)</f>
        <v>2.9699999999999996E-3</v>
      </c>
      <c r="C11" s="5">
        <f>IF(ISBLANK('N fertilizer'!C20),0,VLOOKUP('N fertilizer'!C20,'N2O default values'!$I:$J,2,FALSE)*'N fertilizer'!C23)</f>
        <v>0</v>
      </c>
      <c r="D11" s="5">
        <f>IF(ISBLANK('N fertilizer'!D20),0,VLOOKUP('N fertilizer'!D20,'N2O default values'!$I:$J,2,FALSE)*'N fertilizer'!D23)</f>
        <v>0</v>
      </c>
      <c r="E11" s="5">
        <f>IF(ISBLANK('N fertilizer'!E20),0,VLOOKUP('N fertilizer'!E20,'N2O default values'!$I:$J,2,FALSE)*'N fertilizer'!E23)</f>
        <v>0</v>
      </c>
      <c r="I11" s="5">
        <f>IF(ISBLANK('N fertilizer'!I20),0,VLOOKUP('N fertilizer'!I20,'N2O default values'!$I:$J,2,FALSE)*'N fertilizer'!I23)</f>
        <v>0</v>
      </c>
      <c r="J11" s="5">
        <f>IF(ISBLANK('N fertilizer'!J20),0,VLOOKUP('N fertilizer'!J20,'N2O default values'!$I:$J,2,FALSE)*'N fertilizer'!J23)</f>
        <v>0</v>
      </c>
      <c r="K11" s="5">
        <f>IF(ISBLANK('N fertilizer'!K20),0,VLOOKUP('N fertilizer'!K20,'N2O default values'!$I:$J,2,FALSE)*'N fertilizer'!K23)</f>
        <v>0</v>
      </c>
      <c r="L11" s="5">
        <f>IF(ISBLANK('N fertilizer'!L20),0,VLOOKUP('N fertilizer'!L20,'N2O default values'!$I:$J,2,FALSE)*'N fertilizer'!L23)</f>
        <v>0</v>
      </c>
    </row>
    <row r="12" spans="1:20" x14ac:dyDescent="0.25">
      <c r="A12" s="127" t="s">
        <v>364</v>
      </c>
      <c r="B12" s="146">
        <v>11.177996571428601</v>
      </c>
      <c r="C12" s="146">
        <v>41.354314285714302</v>
      </c>
      <c r="D12" s="146">
        <v>3.26487999999999</v>
      </c>
      <c r="E12" s="146">
        <v>33.584234285714302</v>
      </c>
      <c r="I12" s="146">
        <v>25.4697267330065</v>
      </c>
      <c r="J12" s="146">
        <v>36.907914285714298</v>
      </c>
      <c r="K12" s="146">
        <v>0</v>
      </c>
      <c r="L12" s="146">
        <v>15.748857142857201</v>
      </c>
    </row>
    <row r="13" spans="1:20" x14ac:dyDescent="0.25">
      <c r="A13" s="127" t="s">
        <v>365</v>
      </c>
    </row>
    <row r="14" spans="1:20" x14ac:dyDescent="0.25">
      <c r="A14" s="127" t="s">
        <v>313</v>
      </c>
      <c r="B14" s="5">
        <f>GM!B$8*VLOOKUP(B8,'N2O default values'!$M:$U,7)</f>
        <v>2.8899999999999997</v>
      </c>
      <c r="C14" s="5">
        <f>GM!C$8*VLOOKUP(C8,'N2O default values'!$M:$U,7)</f>
        <v>5.4289999999999994</v>
      </c>
      <c r="D14" s="5">
        <f>GM!D$8*VLOOKUP(D8,'N2O default values'!$M:$U,7)</f>
        <v>3.5275000000000003</v>
      </c>
      <c r="E14" s="5">
        <f>GM!E$8*VLOOKUP(E8,'N2O default values'!$M:$U,7)</f>
        <v>6.7859999999999996</v>
      </c>
      <c r="I14" s="5">
        <f>GM!I$8*VLOOKUP(I8,'N2O default values'!$M:$U,7)</f>
        <v>2.093</v>
      </c>
      <c r="J14" s="5">
        <f>GM!J$8*VLOOKUP(J8,'N2O default values'!$M:$U,7)</f>
        <v>4.1829999999999998</v>
      </c>
      <c r="K14" s="5">
        <f>GM!K$8*VLOOKUP(K8,'N2O default values'!$M:$U,7)</f>
        <v>2.9750000000000001</v>
      </c>
      <c r="L14" s="5">
        <f>GM!L$8*VLOOKUP(L8,'N2O default values'!$M:$U,7)</f>
        <v>5.34</v>
      </c>
    </row>
    <row r="15" spans="1:20" x14ac:dyDescent="0.25">
      <c r="A15" s="127" t="s">
        <v>366</v>
      </c>
      <c r="B15" s="5">
        <f>B14*VLOOKUP(B$8,'N2O default values'!$M:$U,5)*VLOOKUP(B$8,'N2O default values'!$M:$U,8)</f>
        <v>2.8899999999999997</v>
      </c>
      <c r="C15" s="5">
        <f>C14*VLOOKUP(C$8,'N2O default values'!$M:$U,5)*VLOOKUP(C$8,'N2O default values'!$M:$U,8)</f>
        <v>7.0576999999999996</v>
      </c>
      <c r="D15" s="5">
        <f>D14*VLOOKUP(D$8,'N2O default values'!$M:$U,5)*VLOOKUP(D$8,'N2O default values'!$M:$U,8)</f>
        <v>3.5275000000000003</v>
      </c>
      <c r="E15" s="5">
        <f>E14*VLOOKUP(E$8,'N2O default values'!$M:$U,5)*VLOOKUP(E$8,'N2O default values'!$M:$U,8)</f>
        <v>6.7859999999999996</v>
      </c>
      <c r="I15" s="5">
        <f>I14*VLOOKUP(I$8,'N2O default values'!$M:$U,5)*VLOOKUP(I$8,'N2O default values'!$M:$U,8)</f>
        <v>4.3952999999999998</v>
      </c>
      <c r="J15" s="5">
        <f>J14*VLOOKUP(J$8,'N2O default values'!$M:$U,5)*VLOOKUP(J$8,'N2O default values'!$M:$U,8)</f>
        <v>5.4379</v>
      </c>
      <c r="K15" s="5">
        <f>K14*VLOOKUP(K$8,'N2O default values'!$M:$U,5)*VLOOKUP(K$8,'N2O default values'!$M:$U,8)</f>
        <v>2.9750000000000001</v>
      </c>
      <c r="L15" s="5">
        <f>L14*VLOOKUP(L$8,'N2O default values'!$M:$U,5)*VLOOKUP(L$8,'N2O default values'!$M:$U,8)</f>
        <v>6.9420000000000002</v>
      </c>
    </row>
    <row r="16" spans="1:20" x14ac:dyDescent="0.25">
      <c r="A16" s="127" t="s">
        <v>367</v>
      </c>
      <c r="B16" s="5">
        <f>SUM(B14:B15)*VLOOKUP(B$8,'N2O default values'!$M:$U,6)</f>
        <v>1.2715999999999998</v>
      </c>
      <c r="C16" s="5">
        <f>SUM(C14:C15)*VLOOKUP(C$8,'N2O default values'!$M:$U,6)</f>
        <v>2.8719410000000001</v>
      </c>
      <c r="D16" s="5">
        <f>SUM(D14:D15)*VLOOKUP(D$8,'N2O default values'!$M:$U,6)</f>
        <v>1.5521</v>
      </c>
      <c r="E16" s="5">
        <f>SUM(E14:E15)*VLOOKUP(E$8,'N2O default values'!$M:$U,6)</f>
        <v>2.98584</v>
      </c>
      <c r="I16" s="5">
        <f>SUM(I14:I15)*VLOOKUP(I$8,'N2O default values'!$M:$U,6)</f>
        <v>1.232777</v>
      </c>
      <c r="J16" s="5">
        <f>SUM(J14:J15)*VLOOKUP(J$8,'N2O default values'!$M:$U,6)</f>
        <v>2.2128069999999997</v>
      </c>
      <c r="K16" s="5">
        <f>SUM(K14:K15)*VLOOKUP(K$8,'N2O default values'!$M:$U,6)</f>
        <v>1.3089999999999999</v>
      </c>
      <c r="L16" s="5">
        <f>SUM(L14:L15)*VLOOKUP(L$8,'N2O default values'!$M:$U,6)</f>
        <v>2.8248600000000001</v>
      </c>
    </row>
    <row r="17" spans="1:20" x14ac:dyDescent="0.25">
      <c r="A17" s="127" t="s">
        <v>368</v>
      </c>
      <c r="B17" s="5">
        <f>(B15-GM!B11*VLOOKUP('N2O calculations'!B$8,'N2O default values'!$M:$U,9))*VLOOKUP('N2O calculations'!B$8,'N2O default values'!$M:$U,3)*1000</f>
        <v>23.119999999999997</v>
      </c>
      <c r="C17" s="5">
        <f>(C15-GM!C11*VLOOKUP('N2O calculations'!C$8,'N2O default values'!$M:$U,9))*VLOOKUP('N2O calculations'!C$8,'N2O default values'!$M:$U,3)*1000</f>
        <v>42.346200000000003</v>
      </c>
      <c r="D17" s="5">
        <f>(D15-GM!D11*VLOOKUP('N2O calculations'!D$8,'N2O default values'!$M:$U,9))*VLOOKUP('N2O calculations'!D$8,'N2O default values'!$M:$U,3)*1000</f>
        <v>28.220000000000002</v>
      </c>
      <c r="E17" s="5">
        <f>(E15-GM!E11*VLOOKUP('N2O calculations'!E$8,'N2O default values'!$M:$U,9))*VLOOKUP('N2O calculations'!E$8,'N2O default values'!$M:$U,3)*1000</f>
        <v>40.715999999999994</v>
      </c>
      <c r="I17" s="5">
        <f>(I15-GM!I11*VLOOKUP('N2O calculations'!I$8,'N2O default values'!$M:$U,9))*VLOOKUP('N2O calculations'!I$8,'N2O default values'!$M:$U,3)*1000</f>
        <v>35.162399999999998</v>
      </c>
      <c r="J17" s="5">
        <f>(J15-GM!J11*VLOOKUP('N2O calculations'!J$8,'N2O default values'!$M:$U,9))*VLOOKUP('N2O calculations'!J$8,'N2O default values'!$M:$U,3)*1000</f>
        <v>32.627400000000002</v>
      </c>
      <c r="K17" s="5">
        <f>(K15-GM!K11*VLOOKUP('N2O calculations'!K$8,'N2O default values'!$M:$U,9))*VLOOKUP('N2O calculations'!K$8,'N2O default values'!$M:$U,3)*1000</f>
        <v>23.8</v>
      </c>
      <c r="L17" s="5">
        <f>(L15-GM!L11*VLOOKUP('N2O calculations'!L$8,'N2O default values'!$M:$U,9))*VLOOKUP('N2O calculations'!L$8,'N2O default values'!$M:$U,3)*1000</f>
        <v>41.652000000000001</v>
      </c>
    </row>
    <row r="18" spans="1:20" x14ac:dyDescent="0.25">
      <c r="A18" s="127" t="s">
        <v>369</v>
      </c>
      <c r="B18" s="5">
        <f>B16*VLOOKUP(B$8,'N2O default values'!$M:$U,4)*1000</f>
        <v>11.444399999999996</v>
      </c>
      <c r="C18" s="5">
        <f>C16*VLOOKUP(C$8,'N2O default values'!$M:$U,4)*1000</f>
        <v>25.847468999999997</v>
      </c>
      <c r="D18" s="5">
        <f>D16*VLOOKUP(D$8,'N2O default values'!$M:$U,4)*1000</f>
        <v>13.9689</v>
      </c>
      <c r="E18" s="5">
        <f>E16*VLOOKUP(E$8,'N2O default values'!$M:$U,4)*1000</f>
        <v>20.900880000000001</v>
      </c>
      <c r="I18" s="5">
        <f>I16*VLOOKUP(I$8,'N2O default values'!$M:$U,4)*1000</f>
        <v>9.8622160000000001</v>
      </c>
      <c r="J18" s="5">
        <f>J16*VLOOKUP(J$8,'N2O default values'!$M:$U,4)*1000</f>
        <v>19.915262999999996</v>
      </c>
      <c r="K18" s="5">
        <f>K16*VLOOKUP(K$8,'N2O default values'!$M:$U,4)*1000</f>
        <v>11.780999999999999</v>
      </c>
      <c r="L18" s="5">
        <f>L16*VLOOKUP(L$8,'N2O default values'!$M:$U,4)*1000</f>
        <v>25.423739999999999</v>
      </c>
    </row>
    <row r="19" spans="1:20" x14ac:dyDescent="0.25">
      <c r="A19" s="127" t="s">
        <v>370</v>
      </c>
      <c r="B19" s="5">
        <f>SUM(B17:B18)</f>
        <v>34.564399999999992</v>
      </c>
      <c r="C19" s="5">
        <f t="shared" ref="C19:E19" si="0">SUM(C17:C18)</f>
        <v>68.193669</v>
      </c>
      <c r="D19" s="5">
        <f t="shared" si="0"/>
        <v>42.188900000000004</v>
      </c>
      <c r="E19" s="5">
        <f t="shared" si="0"/>
        <v>61.616879999999995</v>
      </c>
      <c r="I19" s="5">
        <f>SUM(I17:I18)</f>
        <v>45.024615999999995</v>
      </c>
      <c r="J19" s="5">
        <f t="shared" ref="J19:L19" si="1">SUM(J17:J18)</f>
        <v>52.542662999999997</v>
      </c>
      <c r="K19" s="5">
        <f t="shared" si="1"/>
        <v>35.581000000000003</v>
      </c>
      <c r="L19" s="5">
        <f t="shared" si="1"/>
        <v>67.075739999999996</v>
      </c>
    </row>
    <row r="20" spans="1:20" x14ac:dyDescent="0.25">
      <c r="A20" s="127"/>
    </row>
    <row r="23" spans="1:20" x14ac:dyDescent="0.25">
      <c r="A23" s="5" t="s">
        <v>371</v>
      </c>
    </row>
    <row r="24" spans="1:20" x14ac:dyDescent="0.25">
      <c r="B24" s="37" t="str">
        <f>B7</f>
        <v>Winter rape</v>
      </c>
      <c r="C24" s="37" t="str">
        <f t="shared" ref="C24:E24" si="2">C7</f>
        <v>Winter wheat</v>
      </c>
      <c r="D24" s="37" t="str">
        <f t="shared" si="2"/>
        <v>Sunflower</v>
      </c>
      <c r="E24" s="37" t="str">
        <f t="shared" si="2"/>
        <v>Maize</v>
      </c>
      <c r="F24" s="37"/>
      <c r="G24" s="37"/>
      <c r="I24" s="37" t="str">
        <f>I7</f>
        <v>Soybean</v>
      </c>
      <c r="J24" s="37" t="str">
        <f t="shared" ref="J24:L24" si="3">J7</f>
        <v>Winter wheat</v>
      </c>
      <c r="K24" s="37" t="str">
        <f t="shared" si="3"/>
        <v>Sunflower</v>
      </c>
      <c r="L24" s="37" t="str">
        <f t="shared" si="3"/>
        <v>Winter wheat</v>
      </c>
      <c r="M24" s="37"/>
      <c r="N24" s="37"/>
      <c r="P24" s="128"/>
      <c r="Q24" s="128"/>
      <c r="R24" s="128"/>
      <c r="S24" s="128"/>
      <c r="T24" s="37"/>
    </row>
    <row r="25" spans="1:20" x14ac:dyDescent="0.25">
      <c r="A25" s="127" t="s">
        <v>376</v>
      </c>
      <c r="B25" s="5">
        <f>'N fertilizer'!B13*'N2O default values'!$E$2+'N fertilizer'!B18*'N2O default values'!$E$2+'N fertilizer'!B23*'N2O default values'!$E$2</f>
        <v>1.4004319999999999</v>
      </c>
      <c r="C25" s="5">
        <f>'N fertilizer'!C13*'N2O default values'!$E$2+'N fertilizer'!C18*'N2O default values'!$E$2+'N fertilizer'!C23*'N2O default values'!$E$2</f>
        <v>2.1280000000000001</v>
      </c>
      <c r="D25" s="5">
        <f>'N fertilizer'!D13*'N2O default values'!$E$2+'N fertilizer'!D18*'N2O default values'!$E$2+'N fertilizer'!D23*'N2O default values'!$E$2</f>
        <v>1.6576000000000002</v>
      </c>
      <c r="E25" s="5">
        <f>'N fertilizer'!E13*'N2O default values'!$E$2+'N fertilizer'!E18*'N2O default values'!$E$2+'N fertilizer'!E23*'N2O default values'!$E$2</f>
        <v>2.4975999999999998</v>
      </c>
      <c r="I25" s="5">
        <f>'N fertilizer'!I13*'N2O default values'!$E$2+'N fertilizer'!I18*'N2O default values'!$E$2+'N fertilizer'!I23*'N2O default values'!$E$2</f>
        <v>0.878</v>
      </c>
      <c r="J25" s="5">
        <f>'N fertilizer'!J13*'N2O default values'!$E$2+'N fertilizer'!J18*'N2O default values'!$E$2+'N fertilizer'!J23*'N2O default values'!$E$2</f>
        <v>1.456</v>
      </c>
      <c r="K25" s="5">
        <f>'N fertilizer'!K13*'N2O default values'!$E$2+'N fertilizer'!K18*'N2O default values'!$E$2+'N fertilizer'!K23*'N2O default values'!$E$2</f>
        <v>0.6</v>
      </c>
      <c r="L25" s="5">
        <f>'N fertilizer'!L13*'N2O default values'!$E$2+'N fertilizer'!L18*'N2O default values'!$E$2+'N fertilizer'!L23*'N2O default values'!$E$2</f>
        <v>1.456</v>
      </c>
    </row>
    <row r="26" spans="1:20" x14ac:dyDescent="0.25">
      <c r="A26" s="5" t="s">
        <v>377</v>
      </c>
      <c r="B26" s="5">
        <f>(SUM(B9:B11)*'N2O default values'!$E$4)</f>
        <v>0.11379157999999999</v>
      </c>
      <c r="C26" s="5">
        <f>(SUM(C9:C11)*'N2O default values'!$E$4)</f>
        <v>0.11955999999999999</v>
      </c>
      <c r="D26" s="5">
        <f>(SUM(D9:D11)*'N2O default values'!$E$4)</f>
        <v>7.2520000000000001E-2</v>
      </c>
      <c r="E26" s="5">
        <f>(SUM(E9:E11)*'N2O default values'!$E$4)</f>
        <v>0.10926999999999999</v>
      </c>
      <c r="I26" s="5">
        <f>(SUM(I9:I11)*'N2O default values'!$E$4)</f>
        <v>0</v>
      </c>
      <c r="J26" s="5">
        <f>(SUM(J9:J11)*'N2O default values'!$E$4)</f>
        <v>6.3699999999999993E-2</v>
      </c>
      <c r="K26" s="5">
        <f>(SUM(K9:K11)*'N2O default values'!$E$4)</f>
        <v>2.6249999999999999E-2</v>
      </c>
      <c r="L26" s="5">
        <f>(SUM(L9:L11)*'N2O default values'!$E$4)</f>
        <v>6.3699999999999993E-2</v>
      </c>
    </row>
    <row r="27" spans="1:20" x14ac:dyDescent="0.25">
      <c r="A27" s="5" t="s">
        <v>364</v>
      </c>
      <c r="B27" s="5">
        <f>B12*'N2O default values'!$E$5</f>
        <v>0.12295796228571459</v>
      </c>
      <c r="C27" s="5">
        <f>C12*'N2O default values'!$E$5</f>
        <v>0.45489745714285729</v>
      </c>
      <c r="D27" s="5">
        <f>D12*'N2O default values'!$E$5</f>
        <v>3.5913679999999885E-2</v>
      </c>
      <c r="E27" s="5">
        <f>E12*'N2O default values'!$E$5</f>
        <v>0.36942657714285732</v>
      </c>
      <c r="I27" s="5">
        <f>I12*'N2O default values'!$E$5</f>
        <v>0.2801669940630715</v>
      </c>
      <c r="J27" s="5">
        <f>J12*'N2O default values'!$E$5</f>
        <v>0.40598705714285727</v>
      </c>
      <c r="K27" s="5">
        <f>K12*'N2O default values'!$E$5</f>
        <v>0</v>
      </c>
      <c r="L27" s="5">
        <f>L12*'N2O default values'!$E$5</f>
        <v>0.17323742857142921</v>
      </c>
    </row>
    <row r="28" spans="1:20" x14ac:dyDescent="0.25">
      <c r="A28" s="5" t="s">
        <v>378</v>
      </c>
      <c r="B28" s="5">
        <f>B19*'N2O default values'!$E$3</f>
        <v>0.20738639999999994</v>
      </c>
      <c r="C28" s="5">
        <f>C19*'N2O default values'!$E$3</f>
        <v>0.40916201400000002</v>
      </c>
      <c r="D28" s="5">
        <f>D19*'N2O default values'!$E$3</f>
        <v>0.25313340000000001</v>
      </c>
      <c r="E28" s="5">
        <f>E19*'N2O default values'!$E$3</f>
        <v>0.36970127999999997</v>
      </c>
      <c r="I28" s="5">
        <f>I19*'N2O default values'!$E$3</f>
        <v>0.27014769599999999</v>
      </c>
      <c r="J28" s="5">
        <f>J19*'N2O default values'!$E$3</f>
        <v>0.31525597799999999</v>
      </c>
      <c r="K28" s="5">
        <f>K19*'N2O default values'!$E$3</f>
        <v>0.21348600000000001</v>
      </c>
      <c r="L28" s="5">
        <f>L19*'N2O default values'!$E$3</f>
        <v>0.40245443999999997</v>
      </c>
    </row>
    <row r="30" spans="1:20" x14ac:dyDescent="0.25">
      <c r="A30" s="5" t="s">
        <v>379</v>
      </c>
    </row>
    <row r="31" spans="1:20" x14ac:dyDescent="0.25">
      <c r="A31" s="5">
        <f>SUM(B31:F31)</f>
        <v>16.219267979469386</v>
      </c>
      <c r="B31" s="5">
        <f>SUM(B25:B28)*'N2O default values'!$G$2</f>
        <v>2.8986067664489799</v>
      </c>
      <c r="C31" s="5">
        <f>SUM(C25:C28)*'N2O default values'!$G$2</f>
        <v>4.8896877403673473</v>
      </c>
      <c r="D31" s="5">
        <f>SUM(D25:D28)*'N2O default values'!$G$2</f>
        <v>3.1729768399999996</v>
      </c>
      <c r="E31" s="5">
        <f>SUM(E25:E28)*'N2O default values'!$G$2</f>
        <v>5.2579966326530609</v>
      </c>
      <c r="H31" s="5">
        <f>SUM(I31:M31)</f>
        <v>10.378320218792991</v>
      </c>
      <c r="I31" s="5">
        <f>SUM(I25:I28)*'N2O default values'!$G$2</f>
        <v>2.2444945129562552</v>
      </c>
      <c r="J31" s="5">
        <f>SUM(J25:J28)*'N2O default values'!$G$2</f>
        <v>3.5214819123673471</v>
      </c>
      <c r="K31" s="5">
        <f>SUM(K25:K28)*'N2O default values'!$G$2</f>
        <v>1.3195851428571428</v>
      </c>
      <c r="L31" s="5">
        <f>SUM(L25:L28)*'N2O default values'!$G$2</f>
        <v>3.2927586506122459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3" sqref="L23"/>
    </sheetView>
  </sheetViews>
  <sheetFormatPr baseColWidth="10" defaultColWidth="9.140625" defaultRowHeight="15" x14ac:dyDescent="0.25"/>
  <cols>
    <col min="1" max="1" width="9.140625" style="5"/>
    <col min="2" max="2" width="17.7109375" style="5" bestFit="1" customWidth="1"/>
    <col min="3" max="10" width="9.140625" style="5"/>
    <col min="11" max="11" width="41.7109375" style="5" customWidth="1"/>
    <col min="12" max="12" width="7" style="5" customWidth="1"/>
    <col min="13" max="13" width="14.140625" style="5" bestFit="1" customWidth="1"/>
    <col min="14" max="14" width="41.85546875" style="5" customWidth="1"/>
    <col min="15" max="19" width="30.7109375" style="5" customWidth="1"/>
    <col min="20" max="16384" width="9.140625" style="5"/>
  </cols>
  <sheetData>
    <row r="1" spans="1:21" ht="45" x14ac:dyDescent="0.25">
      <c r="A1" s="5">
        <v>1</v>
      </c>
      <c r="C1" s="5" t="s">
        <v>362</v>
      </c>
      <c r="D1" s="5" t="s">
        <v>380</v>
      </c>
      <c r="G1" s="5" t="s">
        <v>381</v>
      </c>
      <c r="I1" s="5" t="s">
        <v>382</v>
      </c>
      <c r="K1" s="6"/>
      <c r="M1" s="5" t="s">
        <v>383</v>
      </c>
      <c r="N1" s="5" t="s">
        <v>339</v>
      </c>
      <c r="O1" s="41" t="s">
        <v>384</v>
      </c>
      <c r="P1" s="41" t="s">
        <v>385</v>
      </c>
      <c r="Q1" s="41" t="s">
        <v>386</v>
      </c>
      <c r="R1" s="41" t="s">
        <v>387</v>
      </c>
      <c r="S1" s="41" t="s">
        <v>340</v>
      </c>
      <c r="T1" s="41" t="s">
        <v>388</v>
      </c>
      <c r="U1" s="41" t="s">
        <v>389</v>
      </c>
    </row>
    <row r="2" spans="1:21" x14ac:dyDescent="0.25">
      <c r="A2" s="5">
        <v>2</v>
      </c>
      <c r="B2" s="5" t="s">
        <v>390</v>
      </c>
      <c r="C2" s="5">
        <v>1.6E-2</v>
      </c>
      <c r="D2" s="5">
        <v>5.0000000000000001E-3</v>
      </c>
      <c r="E2" s="5">
        <f>HLOOKUP('N2O calculations'!$B$6,$B$1:$D$10,A2)</f>
        <v>1.6E-2</v>
      </c>
      <c r="G2" s="5">
        <f>44/28</f>
        <v>1.5714285714285714</v>
      </c>
      <c r="I2" s="5" t="s">
        <v>391</v>
      </c>
      <c r="J2" s="5">
        <v>0.15</v>
      </c>
      <c r="K2" s="129" t="s">
        <v>392</v>
      </c>
      <c r="L2" s="130">
        <v>0.15</v>
      </c>
      <c r="M2" s="5">
        <v>1</v>
      </c>
      <c r="N2" s="41" t="s">
        <v>341</v>
      </c>
      <c r="O2" s="41">
        <v>8.0000000000000002E-3</v>
      </c>
      <c r="P2" s="41">
        <v>8.9999999999999993E-3</v>
      </c>
      <c r="Q2" s="41">
        <v>1</v>
      </c>
      <c r="R2" s="41">
        <v>0.22</v>
      </c>
      <c r="S2" s="41">
        <v>0.85</v>
      </c>
      <c r="T2" s="41">
        <v>1</v>
      </c>
      <c r="U2" s="5">
        <f>S2</f>
        <v>0.85</v>
      </c>
    </row>
    <row r="3" spans="1:21" x14ac:dyDescent="0.25">
      <c r="A3" s="5">
        <v>3</v>
      </c>
      <c r="B3" s="5" t="s">
        <v>393</v>
      </c>
      <c r="C3" s="5">
        <v>6.0000000000000001E-3</v>
      </c>
      <c r="D3" s="5">
        <v>5.0000000000000001E-3</v>
      </c>
      <c r="E3" s="5">
        <f>HLOOKUP('N2O calculations'!$B$6,$B$1:$D$10,A3)</f>
        <v>6.0000000000000001E-3</v>
      </c>
      <c r="I3" s="5" t="s">
        <v>394</v>
      </c>
      <c r="J3" s="5">
        <v>0.08</v>
      </c>
      <c r="K3" s="131" t="s">
        <v>395</v>
      </c>
      <c r="L3" s="130">
        <v>0.08</v>
      </c>
      <c r="M3" s="5">
        <v>2</v>
      </c>
      <c r="N3" s="5" t="s">
        <v>342</v>
      </c>
      <c r="O3" s="5">
        <v>6.0000000000000001E-3</v>
      </c>
      <c r="P3" s="5">
        <v>8.9999999999999993E-3</v>
      </c>
      <c r="Q3" s="5">
        <v>1.3</v>
      </c>
      <c r="R3" s="5">
        <v>0.22</v>
      </c>
      <c r="S3" s="5">
        <v>0.88</v>
      </c>
      <c r="T3" s="41">
        <v>1</v>
      </c>
      <c r="U3" s="5">
        <f t="shared" ref="U3:U22" si="0">S3</f>
        <v>0.88</v>
      </c>
    </row>
    <row r="4" spans="1:21" x14ac:dyDescent="0.25">
      <c r="A4" s="5">
        <v>4</v>
      </c>
      <c r="B4" s="5" t="s">
        <v>396</v>
      </c>
      <c r="C4" s="5">
        <v>1.4E-2</v>
      </c>
      <c r="D4" s="5">
        <v>5.0000000000000001E-3</v>
      </c>
      <c r="E4" s="5">
        <f>HLOOKUP('N2O calculations'!$B$6,$B$1:$D$10,A4)</f>
        <v>1.4E-2</v>
      </c>
      <c r="I4" s="5" t="s">
        <v>397</v>
      </c>
      <c r="J4" s="5">
        <v>0.01</v>
      </c>
      <c r="K4" s="131" t="s">
        <v>398</v>
      </c>
      <c r="L4" s="130">
        <v>0.01</v>
      </c>
      <c r="M4" s="5">
        <v>3</v>
      </c>
      <c r="N4" s="5" t="s">
        <v>343</v>
      </c>
      <c r="O4" s="5">
        <v>6.0000000000000001E-3</v>
      </c>
      <c r="P4" s="5">
        <v>8.9999999999999993E-3</v>
      </c>
      <c r="Q4" s="5">
        <v>1.3</v>
      </c>
      <c r="R4" s="5">
        <v>0.23</v>
      </c>
      <c r="S4" s="5">
        <v>0.89</v>
      </c>
      <c r="T4" s="41">
        <v>1</v>
      </c>
      <c r="U4" s="5">
        <f t="shared" si="0"/>
        <v>0.89</v>
      </c>
    </row>
    <row r="5" spans="1:21" x14ac:dyDescent="0.25">
      <c r="A5" s="5">
        <v>5</v>
      </c>
      <c r="B5" s="5" t="s">
        <v>364</v>
      </c>
      <c r="E5" s="5">
        <v>1.0999999999999999E-2</v>
      </c>
      <c r="I5" s="5" t="s">
        <v>399</v>
      </c>
      <c r="J5" s="5">
        <v>0.05</v>
      </c>
      <c r="K5" s="132" t="s">
        <v>400</v>
      </c>
      <c r="L5" s="132">
        <v>0.05</v>
      </c>
      <c r="M5" s="5">
        <v>4</v>
      </c>
      <c r="N5" s="5" t="s">
        <v>344</v>
      </c>
      <c r="O5" s="5">
        <v>6.0000000000000001E-3</v>
      </c>
      <c r="P5" s="5">
        <v>8.9999999999999993E-3</v>
      </c>
      <c r="Q5" s="5">
        <v>1.3</v>
      </c>
      <c r="R5" s="5">
        <v>0.28000000000000003</v>
      </c>
      <c r="S5" s="5">
        <v>0.89</v>
      </c>
      <c r="T5" s="41">
        <v>1</v>
      </c>
      <c r="U5" s="5">
        <f t="shared" si="0"/>
        <v>0.89</v>
      </c>
    </row>
    <row r="6" spans="1:21" x14ac:dyDescent="0.25">
      <c r="A6" s="5">
        <v>6</v>
      </c>
      <c r="I6" s="5" t="s">
        <v>401</v>
      </c>
      <c r="J6" s="5">
        <v>0.05</v>
      </c>
      <c r="K6" s="132" t="s">
        <v>402</v>
      </c>
      <c r="L6" s="132">
        <v>0.11</v>
      </c>
      <c r="M6" s="5">
        <v>5</v>
      </c>
      <c r="N6" s="5" t="s">
        <v>345</v>
      </c>
      <c r="O6" s="5">
        <v>7.0000000000000001E-3</v>
      </c>
      <c r="P6" s="5">
        <v>1.4E-2</v>
      </c>
      <c r="Q6" s="5">
        <v>1.2</v>
      </c>
      <c r="R6" s="5">
        <v>0.22</v>
      </c>
      <c r="S6" s="5">
        <v>0.89</v>
      </c>
      <c r="T6" s="41">
        <v>1</v>
      </c>
      <c r="U6" s="5">
        <f t="shared" si="0"/>
        <v>0.89</v>
      </c>
    </row>
    <row r="7" spans="1:21" x14ac:dyDescent="0.25">
      <c r="A7" s="5">
        <v>7</v>
      </c>
      <c r="I7" s="5" t="s">
        <v>403</v>
      </c>
      <c r="J7" s="5">
        <v>0.21</v>
      </c>
      <c r="M7" s="5">
        <v>6</v>
      </c>
      <c r="N7" s="5" t="s">
        <v>346</v>
      </c>
      <c r="O7" s="5">
        <v>7.0000000000000001E-3</v>
      </c>
      <c r="P7" s="5">
        <v>8.0000000000000002E-3</v>
      </c>
      <c r="Q7" s="5">
        <v>1.3</v>
      </c>
      <c r="R7" s="5">
        <v>0.25</v>
      </c>
      <c r="S7" s="5">
        <v>0.89</v>
      </c>
      <c r="T7" s="41">
        <v>1</v>
      </c>
      <c r="U7" s="5">
        <f t="shared" si="0"/>
        <v>0.89</v>
      </c>
    </row>
    <row r="8" spans="1:21" x14ac:dyDescent="0.25">
      <c r="A8" s="5">
        <v>8</v>
      </c>
      <c r="I8" s="143" t="s">
        <v>454</v>
      </c>
      <c r="J8" s="143">
        <v>0.05</v>
      </c>
      <c r="M8" s="5">
        <v>7</v>
      </c>
      <c r="N8" s="5" t="s">
        <v>300</v>
      </c>
      <c r="O8" s="5">
        <v>6.0000000000000001E-3</v>
      </c>
      <c r="P8" s="5">
        <v>7.0000000000000001E-3</v>
      </c>
      <c r="Q8" s="5">
        <v>1</v>
      </c>
      <c r="R8" s="5">
        <v>0.22</v>
      </c>
      <c r="S8" s="5">
        <v>0.87</v>
      </c>
      <c r="T8" s="41">
        <v>1</v>
      </c>
      <c r="U8" s="5">
        <f t="shared" si="0"/>
        <v>0.87</v>
      </c>
    </row>
    <row r="9" spans="1:21" x14ac:dyDescent="0.25">
      <c r="A9" s="5">
        <v>9</v>
      </c>
      <c r="I9" s="143" t="s">
        <v>151</v>
      </c>
      <c r="J9" s="143">
        <v>0.05</v>
      </c>
      <c r="M9" s="5">
        <v>8</v>
      </c>
      <c r="N9" s="5" t="s">
        <v>347</v>
      </c>
      <c r="O9" s="5">
        <v>5.0000000000000001E-3</v>
      </c>
      <c r="P9" s="5">
        <v>1.0999999999999999E-2</v>
      </c>
      <c r="Q9" s="5">
        <v>1.6</v>
      </c>
      <c r="R9" s="133">
        <f>R2</f>
        <v>0.22</v>
      </c>
      <c r="S9" s="5">
        <v>0.88</v>
      </c>
      <c r="T9" s="41">
        <v>1</v>
      </c>
      <c r="U9" s="5">
        <f t="shared" si="0"/>
        <v>0.88</v>
      </c>
    </row>
    <row r="10" spans="1:21" x14ac:dyDescent="0.25">
      <c r="A10" s="5">
        <v>10</v>
      </c>
      <c r="I10" s="143" t="s">
        <v>127</v>
      </c>
      <c r="J10" s="143">
        <v>0.05</v>
      </c>
      <c r="M10" s="5">
        <v>9</v>
      </c>
      <c r="N10" s="5" t="s">
        <v>348</v>
      </c>
      <c r="O10" s="5">
        <v>7.0000000000000001E-3</v>
      </c>
      <c r="P10" s="133">
        <f>P2</f>
        <v>8.9999999999999993E-3</v>
      </c>
      <c r="Q10" s="5">
        <v>1.4</v>
      </c>
      <c r="R10" s="5">
        <v>0.16</v>
      </c>
      <c r="S10" s="5">
        <v>0.89</v>
      </c>
      <c r="T10" s="41">
        <v>1</v>
      </c>
      <c r="U10" s="5">
        <f t="shared" si="0"/>
        <v>0.89</v>
      </c>
    </row>
    <row r="11" spans="1:21" x14ac:dyDescent="0.25">
      <c r="I11" s="143" t="s">
        <v>129</v>
      </c>
      <c r="J11" s="144">
        <v>0.11</v>
      </c>
      <c r="M11" s="5">
        <v>10</v>
      </c>
      <c r="N11" s="5" t="s">
        <v>349</v>
      </c>
      <c r="O11" s="5">
        <v>7.0000000000000001E-3</v>
      </c>
      <c r="P11" s="133">
        <f>P2</f>
        <v>8.9999999999999993E-3</v>
      </c>
      <c r="Q11" s="5">
        <v>1.4</v>
      </c>
      <c r="R11" s="133">
        <f>R2</f>
        <v>0.22</v>
      </c>
      <c r="S11" s="67">
        <v>0.9</v>
      </c>
      <c r="T11" s="41">
        <v>1</v>
      </c>
      <c r="U11" s="5">
        <f t="shared" si="0"/>
        <v>0.9</v>
      </c>
    </row>
    <row r="12" spans="1:21" x14ac:dyDescent="0.25">
      <c r="I12" s="143" t="s">
        <v>149</v>
      </c>
      <c r="J12" s="144">
        <v>0.08</v>
      </c>
      <c r="M12" s="5">
        <v>11</v>
      </c>
      <c r="N12" s="5" t="s">
        <v>350</v>
      </c>
      <c r="O12" s="5">
        <v>7.0000000000000001E-3</v>
      </c>
      <c r="P12" s="5">
        <v>6.0000000000000001E-3</v>
      </c>
      <c r="Q12" s="5">
        <v>1.4</v>
      </c>
      <c r="R12" s="133">
        <f>R2</f>
        <v>0.22</v>
      </c>
      <c r="S12" s="5">
        <v>0.89</v>
      </c>
      <c r="T12" s="41">
        <v>1</v>
      </c>
      <c r="U12" s="5">
        <f t="shared" si="0"/>
        <v>0.89</v>
      </c>
    </row>
    <row r="13" spans="1:21" x14ac:dyDescent="0.25">
      <c r="I13" s="143" t="s">
        <v>131</v>
      </c>
      <c r="J13" s="143">
        <v>0.11</v>
      </c>
      <c r="M13" s="5">
        <v>12</v>
      </c>
      <c r="N13" s="5" t="s">
        <v>351</v>
      </c>
      <c r="O13" s="5">
        <v>8.0000000000000002E-3</v>
      </c>
      <c r="P13" s="5">
        <v>8.0000000000000002E-3</v>
      </c>
      <c r="Q13" s="5">
        <v>2.1</v>
      </c>
      <c r="R13" s="5">
        <v>0.19</v>
      </c>
      <c r="S13" s="5">
        <v>0.91</v>
      </c>
      <c r="T13" s="41">
        <v>1</v>
      </c>
      <c r="U13" s="5">
        <f t="shared" si="0"/>
        <v>0.91</v>
      </c>
    </row>
    <row r="14" spans="1:21" x14ac:dyDescent="0.25">
      <c r="I14" s="143" t="s">
        <v>188</v>
      </c>
      <c r="J14" s="143">
        <v>0.05</v>
      </c>
      <c r="M14" s="5">
        <v>13</v>
      </c>
      <c r="N14" s="5" t="s">
        <v>352</v>
      </c>
      <c r="O14" s="5">
        <v>8.0000000000000002E-3</v>
      </c>
      <c r="P14" s="5">
        <v>8.0000000000000002E-3</v>
      </c>
      <c r="Q14" s="5">
        <v>2.1</v>
      </c>
      <c r="R14" s="5">
        <v>0.19</v>
      </c>
      <c r="S14" s="5">
        <v>0.91</v>
      </c>
      <c r="T14" s="41">
        <v>1</v>
      </c>
      <c r="U14" s="5">
        <f t="shared" si="0"/>
        <v>0.91</v>
      </c>
    </row>
    <row r="15" spans="1:21" x14ac:dyDescent="0.25">
      <c r="I15" s="143" t="s">
        <v>455</v>
      </c>
      <c r="J15" s="143">
        <v>0.05</v>
      </c>
      <c r="M15" s="5">
        <v>14</v>
      </c>
      <c r="N15" s="5" t="s">
        <v>353</v>
      </c>
      <c r="O15" s="5">
        <v>1.9E-2</v>
      </c>
      <c r="P15" s="5">
        <v>1.4E-2</v>
      </c>
      <c r="Q15" s="5">
        <v>0.4</v>
      </c>
      <c r="R15" s="5">
        <v>0.2</v>
      </c>
      <c r="S15" s="5">
        <v>0.22</v>
      </c>
      <c r="T15" s="41">
        <v>1</v>
      </c>
      <c r="U15" s="5">
        <f t="shared" si="0"/>
        <v>0.22</v>
      </c>
    </row>
    <row r="16" spans="1:21" x14ac:dyDescent="0.25">
      <c r="M16" s="5">
        <v>15</v>
      </c>
      <c r="N16" s="5" t="s">
        <v>354</v>
      </c>
      <c r="O16" s="5">
        <v>1.6E-2</v>
      </c>
      <c r="P16" s="133">
        <f>P2</f>
        <v>8.9999999999999993E-3</v>
      </c>
      <c r="Q16" s="5">
        <v>1</v>
      </c>
      <c r="R16" s="133">
        <f>R2</f>
        <v>0.22</v>
      </c>
      <c r="S16" s="5">
        <v>0.94</v>
      </c>
      <c r="T16" s="41">
        <v>1</v>
      </c>
      <c r="U16" s="5">
        <f t="shared" si="0"/>
        <v>0.94</v>
      </c>
    </row>
    <row r="17" spans="13:21" x14ac:dyDescent="0.25">
      <c r="M17" s="5">
        <v>16</v>
      </c>
      <c r="N17" s="5" t="s">
        <v>355</v>
      </c>
      <c r="O17" s="5">
        <v>2.7E-2</v>
      </c>
      <c r="P17" s="5">
        <v>1.9E-2</v>
      </c>
      <c r="Q17" s="133">
        <f>Q$2</f>
        <v>1</v>
      </c>
      <c r="R17" s="5">
        <v>0.4</v>
      </c>
      <c r="S17" s="5">
        <v>0.9</v>
      </c>
      <c r="T17" s="41">
        <v>1</v>
      </c>
      <c r="U17" s="5">
        <f t="shared" si="0"/>
        <v>0.9</v>
      </c>
    </row>
    <row r="18" spans="13:21" x14ac:dyDescent="0.25">
      <c r="M18" s="5">
        <v>17</v>
      </c>
      <c r="N18" s="5" t="s">
        <v>356</v>
      </c>
      <c r="O18" s="5">
        <v>1.4999999999999999E-2</v>
      </c>
      <c r="P18" s="5">
        <v>1.2E-2</v>
      </c>
      <c r="Q18" s="133">
        <f>Q$2</f>
        <v>1</v>
      </c>
      <c r="R18" s="5">
        <v>0.54</v>
      </c>
      <c r="S18" s="5">
        <v>0.9</v>
      </c>
      <c r="T18" s="41"/>
      <c r="U18" s="5">
        <f t="shared" si="0"/>
        <v>0.9</v>
      </c>
    </row>
    <row r="19" spans="13:21" x14ac:dyDescent="0.25">
      <c r="M19" s="5">
        <v>18</v>
      </c>
      <c r="N19" s="5" t="s">
        <v>357</v>
      </c>
      <c r="O19" s="5">
        <v>2.7E-2</v>
      </c>
      <c r="P19" s="5">
        <v>2.1999999999999999E-2</v>
      </c>
      <c r="Q19" s="5">
        <v>0.3</v>
      </c>
      <c r="R19" s="5">
        <v>0.4</v>
      </c>
      <c r="S19" s="5">
        <v>0.9</v>
      </c>
      <c r="T19" s="41"/>
      <c r="U19" s="5">
        <f t="shared" si="0"/>
        <v>0.9</v>
      </c>
    </row>
    <row r="20" spans="13:21" x14ac:dyDescent="0.25">
      <c r="M20" s="5">
        <v>19</v>
      </c>
      <c r="N20" s="5" t="s">
        <v>358</v>
      </c>
      <c r="O20" s="5">
        <v>1.4999999999999999E-2</v>
      </c>
      <c r="P20" s="5">
        <v>1.2E-2</v>
      </c>
      <c r="Q20" s="5">
        <v>0.3</v>
      </c>
      <c r="R20" s="5">
        <v>0.54</v>
      </c>
      <c r="S20" s="5">
        <v>0.9</v>
      </c>
      <c r="T20" s="41"/>
      <c r="U20" s="5">
        <f t="shared" si="0"/>
        <v>0.9</v>
      </c>
    </row>
    <row r="21" spans="13:21" x14ac:dyDescent="0.25">
      <c r="M21" s="5">
        <v>20</v>
      </c>
      <c r="N21" s="5" t="s">
        <v>359</v>
      </c>
      <c r="O21" s="5">
        <v>1.4999999999999999E-2</v>
      </c>
      <c r="P21" s="5">
        <v>1.2E-2</v>
      </c>
      <c r="Q21" s="5">
        <v>0.3</v>
      </c>
      <c r="R21" s="5">
        <v>0.8</v>
      </c>
      <c r="S21" s="5">
        <v>0.9</v>
      </c>
      <c r="T21" s="41"/>
      <c r="U21" s="5">
        <f t="shared" si="0"/>
        <v>0.9</v>
      </c>
    </row>
    <row r="22" spans="13:21" x14ac:dyDescent="0.25">
      <c r="M22" s="5">
        <v>21</v>
      </c>
      <c r="N22" s="5" t="s">
        <v>360</v>
      </c>
      <c r="O22" s="5">
        <v>2.5000000000000001E-2</v>
      </c>
      <c r="P22" s="5">
        <v>1.6E-2</v>
      </c>
      <c r="Q22" s="5">
        <v>0.3</v>
      </c>
      <c r="R22" s="5">
        <v>0.8</v>
      </c>
      <c r="S22" s="5">
        <v>0.9</v>
      </c>
      <c r="T22" s="41"/>
      <c r="U22" s="5">
        <f t="shared" si="0"/>
        <v>0.9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ColWidth="9.140625" defaultRowHeight="15" x14ac:dyDescent="0.25"/>
  <cols>
    <col min="1" max="1" width="18" style="5" customWidth="1"/>
    <col min="2" max="16384" width="9.140625" style="5"/>
  </cols>
  <sheetData>
    <row r="1" spans="1:6" x14ac:dyDescent="0.25">
      <c r="A1" s="5" t="s">
        <v>339</v>
      </c>
      <c r="B1" s="5" t="s">
        <v>404</v>
      </c>
      <c r="E1" s="6"/>
    </row>
    <row r="2" spans="1:6" x14ac:dyDescent="0.25">
      <c r="A2" s="134" t="s">
        <v>405</v>
      </c>
      <c r="B2" s="5">
        <v>12</v>
      </c>
      <c r="C2" s="66"/>
      <c r="D2" s="41"/>
      <c r="E2" s="66"/>
    </row>
    <row r="3" spans="1:6" x14ac:dyDescent="0.25">
      <c r="A3" s="126" t="s">
        <v>375</v>
      </c>
      <c r="B3" s="5">
        <v>12</v>
      </c>
      <c r="C3" s="66"/>
      <c r="E3" s="66"/>
    </row>
    <row r="4" spans="1:6" x14ac:dyDescent="0.25">
      <c r="A4" s="126" t="s">
        <v>374</v>
      </c>
      <c r="B4" s="5">
        <v>5</v>
      </c>
      <c r="E4" s="66"/>
    </row>
    <row r="5" spans="1:6" x14ac:dyDescent="0.25">
      <c r="A5" s="126" t="s">
        <v>372</v>
      </c>
      <c r="B5" s="5">
        <v>5</v>
      </c>
      <c r="E5" s="112"/>
    </row>
    <row r="6" spans="1:6" x14ac:dyDescent="0.25">
      <c r="A6" s="126" t="s">
        <v>373</v>
      </c>
      <c r="B6" s="5">
        <v>6</v>
      </c>
      <c r="E6" s="66"/>
    </row>
    <row r="7" spans="1:6" x14ac:dyDescent="0.25">
      <c r="A7" s="126" t="s">
        <v>301</v>
      </c>
      <c r="B7" s="5">
        <v>1</v>
      </c>
      <c r="E7" s="66"/>
      <c r="F7" s="113"/>
    </row>
    <row r="8" spans="1:6" x14ac:dyDescent="0.25">
      <c r="A8" s="126" t="s">
        <v>297</v>
      </c>
      <c r="B8" s="5">
        <v>3</v>
      </c>
      <c r="C8" s="66"/>
      <c r="E8" s="66"/>
    </row>
    <row r="9" spans="1:6" x14ac:dyDescent="0.25">
      <c r="A9" s="135" t="s">
        <v>299</v>
      </c>
      <c r="B9" s="5">
        <v>13</v>
      </c>
      <c r="C9" s="66"/>
      <c r="E9" s="66"/>
    </row>
    <row r="10" spans="1:6" x14ac:dyDescent="0.25">
      <c r="A10" s="6" t="s">
        <v>300</v>
      </c>
      <c r="B10" s="5">
        <v>7</v>
      </c>
      <c r="E10" s="66"/>
    </row>
    <row r="11" spans="1:6" x14ac:dyDescent="0.25">
      <c r="A11" s="126" t="s">
        <v>298</v>
      </c>
      <c r="B11" s="5">
        <v>1</v>
      </c>
      <c r="E11" s="66"/>
    </row>
    <row r="12" spans="1:6" x14ac:dyDescent="0.25">
      <c r="A12" s="37" t="s">
        <v>406</v>
      </c>
      <c r="B12" s="5">
        <v>12</v>
      </c>
      <c r="E12" s="66"/>
    </row>
    <row r="13" spans="1:6" x14ac:dyDescent="0.25">
      <c r="A13" s="41"/>
      <c r="E13" s="66"/>
    </row>
    <row r="14" spans="1:6" x14ac:dyDescent="0.25">
      <c r="A14" s="41"/>
      <c r="E14" s="66"/>
    </row>
    <row r="15" spans="1:6" x14ac:dyDescent="0.25">
      <c r="E15" s="66"/>
    </row>
    <row r="16" spans="1:6" x14ac:dyDescent="0.25">
      <c r="E16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ColWidth="11.42578125" defaultRowHeight="15" x14ac:dyDescent="0.25"/>
  <sheetData>
    <row r="1" spans="1:2" s="6" customFormat="1" x14ac:dyDescent="0.25">
      <c r="A1" s="70" t="s">
        <v>211</v>
      </c>
    </row>
    <row r="2" spans="1:2" x14ac:dyDescent="0.25">
      <c r="A2" t="s">
        <v>212</v>
      </c>
    </row>
    <row r="3" spans="1:2" s="5" customFormat="1" x14ac:dyDescent="0.25"/>
    <row r="4" spans="1:2" s="6" customFormat="1" x14ac:dyDescent="0.25">
      <c r="A4" s="70" t="s">
        <v>220</v>
      </c>
    </row>
    <row r="5" spans="1:2" s="5" customFormat="1" x14ac:dyDescent="0.25">
      <c r="A5" s="68" t="s">
        <v>225</v>
      </c>
    </row>
    <row r="7" spans="1:2" s="6" customFormat="1" x14ac:dyDescent="0.25">
      <c r="A7" s="6" t="s">
        <v>210</v>
      </c>
    </row>
    <row r="8" spans="1:2" x14ac:dyDescent="0.25">
      <c r="A8" t="s">
        <v>215</v>
      </c>
    </row>
    <row r="9" spans="1:2" s="5" customFormat="1" x14ac:dyDescent="0.25">
      <c r="A9" s="5" t="s">
        <v>214</v>
      </c>
      <c r="B9" s="69" t="s">
        <v>213</v>
      </c>
    </row>
    <row r="10" spans="1:2" s="5" customFormat="1" x14ac:dyDescent="0.25">
      <c r="B10" t="s">
        <v>226</v>
      </c>
    </row>
    <row r="11" spans="1:2" s="5" customFormat="1" x14ac:dyDescent="0.25"/>
    <row r="12" spans="1:2" s="5" customFormat="1" x14ac:dyDescent="0.25">
      <c r="A12" s="5" t="s">
        <v>218</v>
      </c>
    </row>
    <row r="13" spans="1:2" s="5" customFormat="1" x14ac:dyDescent="0.25">
      <c r="A13" s="5" t="s">
        <v>216</v>
      </c>
      <c r="B13" s="69" t="s">
        <v>295</v>
      </c>
    </row>
    <row r="14" spans="1:2" x14ac:dyDescent="0.25">
      <c r="B14" t="s">
        <v>221</v>
      </c>
    </row>
    <row r="15" spans="1:2" s="5" customFormat="1" x14ac:dyDescent="0.25"/>
    <row r="16" spans="1:2" s="5" customFormat="1" x14ac:dyDescent="0.25">
      <c r="A16" s="69" t="s">
        <v>219</v>
      </c>
    </row>
    <row r="17" spans="1:2" s="5" customFormat="1" x14ac:dyDescent="0.25">
      <c r="A17" s="69"/>
      <c r="B17" s="69" t="s">
        <v>217</v>
      </c>
    </row>
    <row r="18" spans="1:2" s="5" customFormat="1" x14ac:dyDescent="0.25">
      <c r="A18" s="69"/>
      <c r="B18" s="69" t="s">
        <v>224</v>
      </c>
    </row>
    <row r="19" spans="1:2" s="5" customFormat="1" x14ac:dyDescent="0.25">
      <c r="A19" s="69"/>
      <c r="B19" s="69"/>
    </row>
    <row r="20" spans="1:2" s="6" customFormat="1" x14ac:dyDescent="0.25">
      <c r="A20" s="6" t="s">
        <v>223</v>
      </c>
    </row>
    <row r="21" spans="1:2" s="5" customFormat="1" x14ac:dyDescent="0.25">
      <c r="A21" s="5" t="s">
        <v>216</v>
      </c>
      <c r="B21" s="5" t="s">
        <v>222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workbookViewId="0"/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5" customFormat="1" x14ac:dyDescent="0.25"/>
    <row r="5" spans="1:9" ht="15" customHeight="1" x14ac:dyDescent="0.25">
      <c r="A5" s="157" t="s">
        <v>60</v>
      </c>
      <c r="B5" s="152" t="s">
        <v>59</v>
      </c>
      <c r="C5" s="156" t="s">
        <v>117</v>
      </c>
      <c r="D5" s="154"/>
      <c r="I5" s="27"/>
    </row>
    <row r="6" spans="1:9" s="5" customFormat="1" ht="18.75" customHeight="1" x14ac:dyDescent="0.25">
      <c r="A6" s="157"/>
      <c r="B6" s="152"/>
      <c r="C6" s="156"/>
      <c r="D6" s="154"/>
      <c r="E6" s="25"/>
      <c r="F6" s="25"/>
    </row>
    <row r="7" spans="1:9" s="5" customFormat="1" ht="18.75" customHeight="1" x14ac:dyDescent="0.25">
      <c r="A7" s="157"/>
      <c r="B7" s="152"/>
      <c r="C7" s="26"/>
      <c r="D7" s="25"/>
      <c r="E7" s="25"/>
      <c r="F7" s="25"/>
    </row>
    <row r="8" spans="1:9" s="5" customFormat="1" ht="18.75" customHeight="1" x14ac:dyDescent="0.25">
      <c r="A8" s="33"/>
      <c r="B8" s="32"/>
      <c r="C8" s="26"/>
      <c r="D8" s="25"/>
      <c r="E8" s="25"/>
      <c r="F8" s="25"/>
    </row>
    <row r="9" spans="1:9" s="5" customFormat="1" ht="18.75" customHeight="1" x14ac:dyDescent="0.25">
      <c r="A9" s="33" t="s">
        <v>61</v>
      </c>
      <c r="B9" s="158" t="s">
        <v>62</v>
      </c>
      <c r="C9" s="26" t="s">
        <v>118</v>
      </c>
      <c r="D9" s="41" t="s">
        <v>119</v>
      </c>
      <c r="E9" s="25"/>
      <c r="F9" s="25"/>
    </row>
    <row r="10" spans="1:9" x14ac:dyDescent="0.25">
      <c r="A10" s="5"/>
      <c r="B10" s="158"/>
    </row>
    <row r="11" spans="1:9" s="5" customFormat="1" ht="15" customHeight="1" x14ac:dyDescent="0.25">
      <c r="A11" s="153" t="s">
        <v>0</v>
      </c>
      <c r="B11" s="152" t="s">
        <v>63</v>
      </c>
      <c r="C11" s="154" t="s">
        <v>120</v>
      </c>
    </row>
    <row r="12" spans="1:9" x14ac:dyDescent="0.25">
      <c r="A12" s="153"/>
      <c r="B12" s="152"/>
      <c r="C12" s="154"/>
    </row>
    <row r="13" spans="1:9" s="5" customFormat="1" x14ac:dyDescent="0.25">
      <c r="A13" s="6"/>
    </row>
    <row r="14" spans="1:9" x14ac:dyDescent="0.25">
      <c r="A14" s="7" t="s">
        <v>1</v>
      </c>
      <c r="B14" s="30" t="s">
        <v>80</v>
      </c>
      <c r="C14">
        <v>100</v>
      </c>
    </row>
    <row r="15" spans="1:9" x14ac:dyDescent="0.25">
      <c r="A15" s="6"/>
      <c r="B15" s="5"/>
    </row>
    <row r="16" spans="1:9" s="5" customFormat="1" x14ac:dyDescent="0.25">
      <c r="A16" s="40" t="s">
        <v>74</v>
      </c>
      <c r="B16" s="5" t="s">
        <v>75</v>
      </c>
      <c r="C16" s="5" t="s">
        <v>296</v>
      </c>
    </row>
    <row r="17" spans="1:14" x14ac:dyDescent="0.25"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4" t="s">
        <v>64</v>
      </c>
      <c r="B18" s="34"/>
      <c r="C18" s="5"/>
      <c r="D18" s="3"/>
      <c r="E18" s="3"/>
      <c r="F18" s="3"/>
      <c r="G18" s="3"/>
      <c r="I18" s="3"/>
      <c r="J18" s="3"/>
      <c r="L18" s="3"/>
      <c r="M18" s="3"/>
      <c r="N18" s="3"/>
    </row>
    <row r="19" spans="1:14" s="5" customFormat="1" x14ac:dyDescent="0.25">
      <c r="A19" s="155" t="s">
        <v>67</v>
      </c>
    </row>
    <row r="20" spans="1:14" ht="15" customHeight="1" x14ac:dyDescent="0.25">
      <c r="A20" s="155"/>
      <c r="B20" s="31" t="s">
        <v>65</v>
      </c>
    </row>
    <row r="21" spans="1:14" x14ac:dyDescent="0.25">
      <c r="A21" s="155"/>
      <c r="B21" s="5"/>
    </row>
    <row r="23" spans="1:14" ht="30" x14ac:dyDescent="0.25">
      <c r="A23" s="28" t="s">
        <v>52</v>
      </c>
      <c r="B23" s="31" t="s">
        <v>81</v>
      </c>
      <c r="C23" s="42">
        <v>2.5</v>
      </c>
    </row>
    <row r="24" spans="1:14" x14ac:dyDescent="0.25">
      <c r="A24" s="6"/>
      <c r="B24" s="5"/>
    </row>
    <row r="25" spans="1:14" ht="15" customHeight="1" x14ac:dyDescent="0.25">
      <c r="A25" s="151" t="s">
        <v>4</v>
      </c>
      <c r="B25" s="149" t="s">
        <v>66</v>
      </c>
      <c r="C25" s="150">
        <v>14</v>
      </c>
    </row>
    <row r="26" spans="1:14" s="5" customFormat="1" x14ac:dyDescent="0.25">
      <c r="A26" s="151"/>
      <c r="B26" s="149"/>
      <c r="C26" s="150"/>
    </row>
    <row r="27" spans="1:14" x14ac:dyDescent="0.25">
      <c r="A27" s="151"/>
      <c r="B27" s="149"/>
      <c r="C27" s="150"/>
    </row>
    <row r="28" spans="1:14" s="5" customFormat="1" x14ac:dyDescent="0.25">
      <c r="A28" s="6"/>
      <c r="B28" s="29"/>
      <c r="C28" s="4"/>
    </row>
    <row r="29" spans="1:14" ht="30" x14ac:dyDescent="0.25">
      <c r="A29" s="28" t="s">
        <v>53</v>
      </c>
      <c r="B29" s="5" t="s">
        <v>82</v>
      </c>
      <c r="C29" s="5" t="s">
        <v>121</v>
      </c>
    </row>
    <row r="30" spans="1:14" x14ac:dyDescent="0.25">
      <c r="A30" s="6"/>
      <c r="B30" s="5"/>
    </row>
    <row r="31" spans="1:14" x14ac:dyDescent="0.25">
      <c r="A31" s="7" t="s">
        <v>54</v>
      </c>
      <c r="B31" s="5" t="s">
        <v>83</v>
      </c>
      <c r="C31" s="5" t="s">
        <v>122</v>
      </c>
    </row>
    <row r="32" spans="1:14" x14ac:dyDescent="0.25">
      <c r="A32" s="6"/>
      <c r="B32" s="5"/>
    </row>
    <row r="33" spans="1:3" ht="30" x14ac:dyDescent="0.25">
      <c r="A33" s="65" t="s">
        <v>55</v>
      </c>
      <c r="B33" s="5" t="s">
        <v>84</v>
      </c>
      <c r="C33" s="66">
        <v>1.4999999999999999E-2</v>
      </c>
    </row>
    <row r="34" spans="1:3" x14ac:dyDescent="0.25">
      <c r="A34" s="28"/>
      <c r="B34" s="5"/>
    </row>
    <row r="35" spans="1:3" ht="45" x14ac:dyDescent="0.25">
      <c r="A35" s="28" t="s">
        <v>56</v>
      </c>
      <c r="B35" s="3" t="s">
        <v>85</v>
      </c>
      <c r="C35" s="5" t="s">
        <v>123</v>
      </c>
    </row>
    <row r="36" spans="1:3" x14ac:dyDescent="0.25">
      <c r="A36" s="28"/>
      <c r="B36" s="5"/>
    </row>
    <row r="37" spans="1:3" ht="30" x14ac:dyDescent="0.25">
      <c r="A37" s="28" t="s">
        <v>58</v>
      </c>
      <c r="B37" s="5" t="s">
        <v>86</v>
      </c>
      <c r="C37" s="5" t="s">
        <v>124</v>
      </c>
    </row>
    <row r="38" spans="1:3" x14ac:dyDescent="0.25">
      <c r="A38" s="28"/>
      <c r="B38" s="5"/>
    </row>
    <row r="39" spans="1:3" ht="30" x14ac:dyDescent="0.25">
      <c r="A39" s="28" t="s">
        <v>57</v>
      </c>
      <c r="B39" s="41" t="s">
        <v>87</v>
      </c>
      <c r="C39" s="5" t="s">
        <v>125</v>
      </c>
    </row>
  </sheetData>
  <mergeCells count="12">
    <mergeCell ref="C5:C6"/>
    <mergeCell ref="D5:D6"/>
    <mergeCell ref="B5:B7"/>
    <mergeCell ref="A5:A7"/>
    <mergeCell ref="B9:B10"/>
    <mergeCell ref="B25:B27"/>
    <mergeCell ref="C25:C27"/>
    <mergeCell ref="A25:A27"/>
    <mergeCell ref="B11:B12"/>
    <mergeCell ref="A11:A12"/>
    <mergeCell ref="C11:C12"/>
    <mergeCell ref="A19:A21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60"/>
  <sheetViews>
    <sheetView topLeftCell="J19" zoomScale="60" zoomScaleNormal="60" workbookViewId="0">
      <selection activeCell="U49" sqref="U49:W49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3.42578125" style="5" customWidth="1"/>
    <col min="5" max="5" width="50.42578125" style="5" customWidth="1"/>
    <col min="6" max="6" width="11.42578125" style="5"/>
    <col min="7" max="7" width="16" style="5" customWidth="1"/>
    <col min="8" max="9" width="28.140625" style="5" bestFit="1" customWidth="1"/>
    <col min="10" max="10" width="1.7109375" style="8" customWidth="1"/>
    <col min="11" max="11" width="11.42578125" style="5"/>
    <col min="12" max="12" width="35" style="5" bestFit="1" customWidth="1"/>
    <col min="13" max="14" width="11.42578125" style="5"/>
    <col min="15" max="15" width="25.85546875" style="5" bestFit="1" customWidth="1"/>
    <col min="16" max="16" width="28.140625" style="5" bestFit="1" customWidth="1"/>
    <col min="17" max="17" width="1.7109375" style="23" customWidth="1"/>
    <col min="18" max="18" width="8.5703125" style="5" bestFit="1" customWidth="1"/>
    <col min="19" max="19" width="35" style="5" bestFit="1" customWidth="1"/>
    <col min="20" max="21" width="9.28515625" style="5" customWidth="1"/>
    <col min="22" max="22" width="25.85546875" style="5" bestFit="1" customWidth="1"/>
    <col min="23" max="23" width="28.140625" style="5" bestFit="1" customWidth="1"/>
    <col min="24" max="24" width="1.7109375" style="23" customWidth="1"/>
    <col min="25" max="25" width="11.42578125" style="5"/>
    <col min="26" max="26" width="19" style="5" customWidth="1"/>
    <col min="27" max="27" width="34.28515625" style="5" bestFit="1" customWidth="1"/>
    <col min="28" max="28" width="11.42578125" style="5"/>
    <col min="29" max="29" width="25.85546875" style="5" bestFit="1" customWidth="1"/>
    <col min="30" max="30" width="28.140625" style="5" bestFit="1" customWidth="1"/>
    <col min="31" max="31" width="1.7109375" style="8" customWidth="1"/>
    <col min="32" max="16384" width="11.42578125" style="5"/>
  </cols>
  <sheetData>
    <row r="6" spans="1:31" ht="15.75" thickBot="1" x14ac:dyDescent="0.3">
      <c r="A6" s="10"/>
      <c r="B6" s="10"/>
      <c r="C6" s="10"/>
      <c r="D6" s="159"/>
      <c r="E6" s="159"/>
      <c r="F6" s="159"/>
      <c r="G6" s="159"/>
      <c r="H6" s="159"/>
      <c r="I6" s="159"/>
    </row>
    <row r="7" spans="1:31" ht="15.75" thickBot="1" x14ac:dyDescent="0.3">
      <c r="A7" s="21"/>
      <c r="B7" s="22" t="s">
        <v>40</v>
      </c>
      <c r="C7" s="22" t="s">
        <v>41</v>
      </c>
      <c r="D7" s="180" t="s">
        <v>48</v>
      </c>
      <c r="E7" s="181"/>
      <c r="F7" s="181"/>
      <c r="G7" s="181"/>
      <c r="H7" s="181"/>
      <c r="I7" s="181"/>
      <c r="J7" s="20"/>
      <c r="K7" s="183" t="s">
        <v>49</v>
      </c>
      <c r="L7" s="184"/>
      <c r="M7" s="184"/>
      <c r="N7" s="184"/>
      <c r="O7" s="184"/>
      <c r="P7" s="184"/>
      <c r="Q7" s="59"/>
      <c r="R7" s="183" t="s">
        <v>50</v>
      </c>
      <c r="S7" s="184"/>
      <c r="T7" s="184"/>
      <c r="U7" s="184"/>
      <c r="V7" s="184"/>
      <c r="W7" s="184"/>
      <c r="X7" s="59"/>
      <c r="Y7" s="183" t="s">
        <v>51</v>
      </c>
      <c r="Z7" s="184"/>
      <c r="AA7" s="184"/>
      <c r="AB7" s="184"/>
      <c r="AC7" s="184"/>
      <c r="AD7" s="184"/>
      <c r="AE7" s="60"/>
    </row>
    <row r="8" spans="1:31" ht="15" customHeight="1" x14ac:dyDescent="0.25">
      <c r="A8" s="194" t="s">
        <v>39</v>
      </c>
      <c r="B8" s="197" t="s">
        <v>38</v>
      </c>
      <c r="C8" s="43" t="s">
        <v>2</v>
      </c>
      <c r="D8" s="187" t="s">
        <v>161</v>
      </c>
      <c r="E8" s="188"/>
      <c r="F8" s="188"/>
      <c r="G8" s="188"/>
      <c r="H8" s="188"/>
      <c r="I8" s="188"/>
      <c r="J8" s="9"/>
      <c r="K8" s="187" t="s">
        <v>144</v>
      </c>
      <c r="L8" s="188"/>
      <c r="M8" s="188"/>
      <c r="N8" s="188"/>
      <c r="O8" s="188"/>
      <c r="P8" s="188"/>
      <c r="Q8" s="24"/>
      <c r="R8" s="187" t="s">
        <v>162</v>
      </c>
      <c r="S8" s="188"/>
      <c r="T8" s="188"/>
      <c r="U8" s="188"/>
      <c r="V8" s="188"/>
      <c r="W8" s="188"/>
      <c r="X8" s="24"/>
      <c r="Y8" s="187" t="s">
        <v>171</v>
      </c>
      <c r="Z8" s="188"/>
      <c r="AA8" s="188"/>
      <c r="AB8" s="188"/>
      <c r="AC8" s="188"/>
      <c r="AD8" s="188"/>
    </row>
    <row r="9" spans="1:31" x14ac:dyDescent="0.25">
      <c r="A9" s="195"/>
      <c r="B9" s="198"/>
      <c r="C9" s="61" t="s">
        <v>3</v>
      </c>
      <c r="D9" s="193" t="s">
        <v>145</v>
      </c>
      <c r="E9" s="193"/>
      <c r="F9" s="193"/>
      <c r="G9" s="193"/>
      <c r="H9" s="193"/>
      <c r="I9" s="193"/>
      <c r="J9" s="71"/>
      <c r="K9" s="185" t="s">
        <v>145</v>
      </c>
      <c r="L9" s="186"/>
      <c r="M9" s="186"/>
      <c r="N9" s="186"/>
      <c r="O9" s="186"/>
      <c r="P9" s="186"/>
      <c r="Q9" s="72"/>
      <c r="R9" s="185" t="s">
        <v>145</v>
      </c>
      <c r="S9" s="186"/>
      <c r="T9" s="186"/>
      <c r="U9" s="186"/>
      <c r="V9" s="186"/>
      <c r="W9" s="186"/>
      <c r="X9" s="72"/>
      <c r="Y9" s="185" t="s">
        <v>145</v>
      </c>
      <c r="Z9" s="186"/>
      <c r="AA9" s="186"/>
      <c r="AB9" s="186"/>
      <c r="AC9" s="186"/>
      <c r="AD9" s="186"/>
    </row>
    <row r="10" spans="1:31" x14ac:dyDescent="0.25">
      <c r="A10" s="195"/>
      <c r="B10" s="198"/>
      <c r="C10" s="61" t="s">
        <v>108</v>
      </c>
      <c r="D10" s="164" t="s">
        <v>146</v>
      </c>
      <c r="E10" s="164"/>
      <c r="F10" s="164"/>
      <c r="G10" s="164"/>
      <c r="H10" s="164"/>
      <c r="I10" s="164"/>
      <c r="J10" s="71"/>
      <c r="K10" s="164" t="s">
        <v>146</v>
      </c>
      <c r="L10" s="164"/>
      <c r="M10" s="164"/>
      <c r="N10" s="164"/>
      <c r="O10" s="164"/>
      <c r="P10" s="164"/>
      <c r="Q10" s="73"/>
      <c r="R10" s="164" t="s">
        <v>146</v>
      </c>
      <c r="S10" s="164"/>
      <c r="T10" s="164"/>
      <c r="U10" s="164"/>
      <c r="V10" s="164"/>
      <c r="W10" s="164"/>
      <c r="X10" s="73"/>
      <c r="Y10" s="164" t="s">
        <v>146</v>
      </c>
      <c r="Z10" s="164"/>
      <c r="AA10" s="164"/>
      <c r="AB10" s="164"/>
      <c r="AC10" s="164"/>
      <c r="AD10" s="164"/>
      <c r="AE10" s="63"/>
    </row>
    <row r="11" spans="1:31" ht="15.75" thickBot="1" x14ac:dyDescent="0.3">
      <c r="A11" s="196"/>
      <c r="B11" s="199"/>
      <c r="C11" s="62" t="s">
        <v>68</v>
      </c>
      <c r="D11" s="179"/>
      <c r="E11" s="179"/>
      <c r="F11" s="179"/>
      <c r="G11" s="179"/>
      <c r="H11" s="179"/>
      <c r="I11" s="179"/>
      <c r="J11" s="74"/>
      <c r="K11" s="200" t="s">
        <v>78</v>
      </c>
      <c r="L11" s="201"/>
      <c r="M11" s="201"/>
      <c r="N11" s="201"/>
      <c r="O11" s="201"/>
      <c r="P11" s="202"/>
      <c r="Q11" s="75"/>
      <c r="R11" s="200"/>
      <c r="S11" s="201"/>
      <c r="T11" s="201"/>
      <c r="U11" s="201"/>
      <c r="V11" s="201"/>
      <c r="W11" s="202"/>
      <c r="X11" s="75"/>
      <c r="Y11" s="200"/>
      <c r="Z11" s="201"/>
      <c r="AA11" s="201"/>
      <c r="AB11" s="201"/>
      <c r="AC11" s="201"/>
      <c r="AD11" s="202"/>
      <c r="AE11" s="64"/>
    </row>
    <row r="12" spans="1:31" ht="15.75" thickBot="1" x14ac:dyDescent="0.3">
      <c r="A12" s="11"/>
      <c r="B12" s="13"/>
      <c r="C12" s="52"/>
      <c r="D12" s="171"/>
      <c r="E12" s="172"/>
      <c r="F12" s="172"/>
      <c r="G12" s="172"/>
      <c r="H12" s="172"/>
      <c r="I12" s="172"/>
      <c r="J12" s="76"/>
      <c r="K12" s="171"/>
      <c r="L12" s="172"/>
      <c r="M12" s="172"/>
      <c r="N12" s="172"/>
      <c r="O12" s="172"/>
      <c r="P12" s="172"/>
      <c r="Q12" s="77"/>
      <c r="R12" s="171"/>
      <c r="S12" s="172"/>
      <c r="T12" s="172"/>
      <c r="U12" s="172"/>
      <c r="V12" s="172"/>
      <c r="W12" s="172"/>
      <c r="X12" s="77"/>
      <c r="Y12" s="171"/>
      <c r="Z12" s="172"/>
      <c r="AA12" s="172"/>
      <c r="AB12" s="172"/>
      <c r="AC12" s="172"/>
      <c r="AD12" s="172"/>
    </row>
    <row r="13" spans="1:31" ht="15" customHeight="1" x14ac:dyDescent="0.25">
      <c r="A13" s="191" t="s">
        <v>37</v>
      </c>
      <c r="B13" s="192" t="s">
        <v>101</v>
      </c>
      <c r="C13" s="50" t="s">
        <v>5</v>
      </c>
      <c r="D13" s="165" t="s">
        <v>227</v>
      </c>
      <c r="E13" s="166"/>
      <c r="F13" s="166"/>
      <c r="G13" s="166"/>
      <c r="H13" s="166"/>
      <c r="I13" s="166"/>
      <c r="J13" s="76"/>
      <c r="K13" s="165" t="s">
        <v>208</v>
      </c>
      <c r="L13" s="166"/>
      <c r="M13" s="166"/>
      <c r="N13" s="166"/>
      <c r="O13" s="166"/>
      <c r="P13" s="166"/>
      <c r="Q13" s="77"/>
      <c r="R13" s="165" t="s">
        <v>228</v>
      </c>
      <c r="S13" s="166"/>
      <c r="T13" s="166"/>
      <c r="U13" s="166"/>
      <c r="V13" s="166"/>
      <c r="W13" s="166"/>
      <c r="X13" s="77"/>
      <c r="Y13" s="165" t="s">
        <v>229</v>
      </c>
      <c r="Z13" s="166"/>
      <c r="AA13" s="166"/>
      <c r="AB13" s="166"/>
      <c r="AC13" s="166"/>
      <c r="AD13" s="166"/>
    </row>
    <row r="14" spans="1:31" x14ac:dyDescent="0.25">
      <c r="A14" s="191"/>
      <c r="B14" s="192"/>
      <c r="C14" s="14" t="s">
        <v>6</v>
      </c>
      <c r="D14" s="167" t="s">
        <v>230</v>
      </c>
      <c r="E14" s="168"/>
      <c r="F14" s="168"/>
      <c r="G14" s="168"/>
      <c r="H14" s="168"/>
      <c r="I14" s="168"/>
      <c r="J14" s="76"/>
      <c r="K14" s="167" t="s">
        <v>231</v>
      </c>
      <c r="L14" s="168"/>
      <c r="M14" s="168"/>
      <c r="N14" s="168"/>
      <c r="O14" s="168"/>
      <c r="P14" s="168"/>
      <c r="Q14" s="77"/>
      <c r="R14" s="167" t="s">
        <v>232</v>
      </c>
      <c r="S14" s="168"/>
      <c r="T14" s="168"/>
      <c r="U14" s="168"/>
      <c r="V14" s="168"/>
      <c r="W14" s="168"/>
      <c r="X14" s="77"/>
      <c r="Y14" s="167" t="s">
        <v>233</v>
      </c>
      <c r="Z14" s="168"/>
      <c r="AA14" s="168"/>
      <c r="AB14" s="168"/>
      <c r="AC14" s="168"/>
      <c r="AD14" s="168"/>
    </row>
    <row r="15" spans="1:31" ht="15.75" thickBot="1" x14ac:dyDescent="0.3">
      <c r="A15" s="191"/>
      <c r="B15" s="192"/>
      <c r="C15" s="51" t="s">
        <v>7</v>
      </c>
      <c r="D15" s="169" t="s">
        <v>234</v>
      </c>
      <c r="E15" s="170"/>
      <c r="F15" s="170"/>
      <c r="G15" s="170"/>
      <c r="H15" s="170"/>
      <c r="I15" s="170"/>
      <c r="J15" s="76"/>
      <c r="K15" s="169" t="s">
        <v>235</v>
      </c>
      <c r="L15" s="170"/>
      <c r="M15" s="170"/>
      <c r="N15" s="170"/>
      <c r="O15" s="170"/>
      <c r="P15" s="170"/>
      <c r="Q15" s="77"/>
      <c r="R15" s="169" t="s">
        <v>236</v>
      </c>
      <c r="S15" s="170"/>
      <c r="T15" s="170"/>
      <c r="U15" s="170"/>
      <c r="V15" s="170"/>
      <c r="W15" s="170"/>
      <c r="X15" s="77"/>
      <c r="Y15" s="169" t="s">
        <v>237</v>
      </c>
      <c r="Z15" s="170"/>
      <c r="AA15" s="170"/>
      <c r="AB15" s="170"/>
      <c r="AC15" s="170"/>
      <c r="AD15" s="170"/>
    </row>
    <row r="16" spans="1:31" ht="15.75" thickBot="1" x14ac:dyDescent="0.3">
      <c r="A16" s="12"/>
      <c r="B16" s="15"/>
      <c r="C16" s="15"/>
      <c r="D16" s="171"/>
      <c r="E16" s="172"/>
      <c r="F16" s="172"/>
      <c r="G16" s="172"/>
      <c r="H16" s="172"/>
      <c r="I16" s="172"/>
      <c r="J16" s="76"/>
      <c r="K16" s="171"/>
      <c r="L16" s="172"/>
      <c r="M16" s="172"/>
      <c r="N16" s="172"/>
      <c r="O16" s="172"/>
      <c r="P16" s="172"/>
      <c r="Q16" s="77"/>
      <c r="R16" s="171"/>
      <c r="S16" s="172"/>
      <c r="T16" s="172"/>
      <c r="U16" s="172"/>
      <c r="V16" s="172"/>
      <c r="W16" s="172"/>
      <c r="X16" s="77"/>
      <c r="Y16" s="171"/>
      <c r="Z16" s="172"/>
      <c r="AA16" s="172"/>
      <c r="AB16" s="172"/>
      <c r="AC16" s="172"/>
      <c r="AD16" s="172"/>
    </row>
    <row r="17" spans="1:30" x14ac:dyDescent="0.25">
      <c r="A17" s="210" t="s">
        <v>8</v>
      </c>
      <c r="B17" s="213" t="s">
        <v>102</v>
      </c>
      <c r="C17" s="48" t="s">
        <v>69</v>
      </c>
      <c r="D17" s="216" t="s">
        <v>126</v>
      </c>
      <c r="E17" s="217"/>
      <c r="F17" s="217"/>
      <c r="G17" s="217"/>
      <c r="H17" s="217"/>
      <c r="I17" s="217"/>
      <c r="J17" s="76"/>
      <c r="K17" s="216" t="s">
        <v>148</v>
      </c>
      <c r="L17" s="217"/>
      <c r="M17" s="217"/>
      <c r="N17" s="217"/>
      <c r="O17" s="217"/>
      <c r="P17" s="217"/>
      <c r="Q17" s="77"/>
      <c r="R17" s="216" t="s">
        <v>173</v>
      </c>
      <c r="S17" s="217"/>
      <c r="T17" s="217"/>
      <c r="U17" s="217"/>
      <c r="V17" s="217"/>
      <c r="W17" s="217"/>
      <c r="X17" s="77"/>
      <c r="Y17" s="216" t="s">
        <v>172</v>
      </c>
      <c r="Z17" s="217"/>
      <c r="AA17" s="217"/>
      <c r="AB17" s="217"/>
      <c r="AC17" s="217"/>
      <c r="AD17" s="217"/>
    </row>
    <row r="18" spans="1:30" x14ac:dyDescent="0.25">
      <c r="A18" s="211"/>
      <c r="B18" s="214"/>
      <c r="C18" s="16" t="s">
        <v>79</v>
      </c>
      <c r="D18" s="220">
        <v>3.8</v>
      </c>
      <c r="E18" s="163"/>
      <c r="F18" s="163"/>
      <c r="G18" s="163"/>
      <c r="H18" s="163"/>
      <c r="I18" s="163"/>
      <c r="J18" s="76"/>
      <c r="K18" s="220">
        <v>300</v>
      </c>
      <c r="L18" s="163"/>
      <c r="M18" s="163"/>
      <c r="N18" s="163"/>
      <c r="O18" s="163"/>
      <c r="P18" s="163"/>
      <c r="Q18" s="77"/>
      <c r="R18" s="220">
        <v>4.5</v>
      </c>
      <c r="S18" s="163"/>
      <c r="T18" s="163"/>
      <c r="U18" s="163"/>
      <c r="V18" s="163"/>
      <c r="W18" s="163"/>
      <c r="X18" s="77"/>
      <c r="Y18" s="220">
        <v>15.5</v>
      </c>
      <c r="Z18" s="163"/>
      <c r="AA18" s="163"/>
      <c r="AB18" s="163"/>
      <c r="AC18" s="163"/>
      <c r="AD18" s="163"/>
    </row>
    <row r="19" spans="1:30" ht="15.75" thickBot="1" x14ac:dyDescent="0.3">
      <c r="A19" s="212"/>
      <c r="B19" s="215"/>
      <c r="C19" s="49" t="s">
        <v>10</v>
      </c>
      <c r="D19" s="218" t="s">
        <v>234</v>
      </c>
      <c r="E19" s="219"/>
      <c r="F19" s="219"/>
      <c r="G19" s="219"/>
      <c r="H19" s="219"/>
      <c r="I19" s="219"/>
      <c r="J19" s="76"/>
      <c r="K19" s="218" t="s">
        <v>238</v>
      </c>
      <c r="L19" s="219"/>
      <c r="M19" s="219"/>
      <c r="N19" s="219"/>
      <c r="O19" s="219"/>
      <c r="P19" s="219"/>
      <c r="Q19" s="77"/>
      <c r="R19" s="220" t="s">
        <v>236</v>
      </c>
      <c r="S19" s="163"/>
      <c r="T19" s="163"/>
      <c r="U19" s="163"/>
      <c r="V19" s="163"/>
      <c r="W19" s="163"/>
      <c r="X19" s="77"/>
      <c r="Y19" s="218" t="s">
        <v>237</v>
      </c>
      <c r="Z19" s="219"/>
      <c r="AA19" s="219"/>
      <c r="AB19" s="219"/>
      <c r="AC19" s="219"/>
      <c r="AD19" s="219"/>
    </row>
    <row r="20" spans="1:30" ht="15.75" thickBot="1" x14ac:dyDescent="0.3">
      <c r="A20" s="12"/>
      <c r="B20" s="15"/>
      <c r="C20" s="15"/>
      <c r="D20" s="171"/>
      <c r="E20" s="172"/>
      <c r="F20" s="172"/>
      <c r="G20" s="172"/>
      <c r="H20" s="172"/>
      <c r="I20" s="172"/>
      <c r="J20" s="76"/>
      <c r="K20" s="171"/>
      <c r="L20" s="172"/>
      <c r="M20" s="172"/>
      <c r="N20" s="172"/>
      <c r="O20" s="172"/>
      <c r="P20" s="172"/>
      <c r="Q20" s="77"/>
      <c r="R20" s="171"/>
      <c r="S20" s="172"/>
      <c r="T20" s="172"/>
      <c r="U20" s="172"/>
      <c r="V20" s="172"/>
      <c r="W20" s="172"/>
      <c r="X20" s="77"/>
      <c r="Y20" s="171"/>
      <c r="Z20" s="172"/>
      <c r="AA20" s="172"/>
      <c r="AB20" s="172"/>
      <c r="AC20" s="172"/>
      <c r="AD20" s="172"/>
    </row>
    <row r="21" spans="1:30" ht="15.75" thickBot="1" x14ac:dyDescent="0.3">
      <c r="A21" s="203" t="s">
        <v>11</v>
      </c>
      <c r="B21" s="206" t="s">
        <v>103</v>
      </c>
      <c r="C21" s="47" t="s">
        <v>95</v>
      </c>
      <c r="D21" s="78" t="s">
        <v>32</v>
      </c>
      <c r="E21" s="79" t="s">
        <v>113</v>
      </c>
      <c r="F21" s="221" t="s">
        <v>20</v>
      </c>
      <c r="G21" s="222"/>
      <c r="H21" s="79" t="s">
        <v>99</v>
      </c>
      <c r="I21" s="79" t="s">
        <v>23</v>
      </c>
      <c r="J21" s="76"/>
      <c r="K21" s="78" t="s">
        <v>32</v>
      </c>
      <c r="L21" s="80" t="s">
        <v>73</v>
      </c>
      <c r="M21" s="221" t="s">
        <v>20</v>
      </c>
      <c r="N21" s="222"/>
      <c r="O21" s="79" t="s">
        <v>99</v>
      </c>
      <c r="P21" s="79" t="s">
        <v>23</v>
      </c>
      <c r="Q21" s="77"/>
      <c r="R21" s="78" t="s">
        <v>32</v>
      </c>
      <c r="S21" s="80" t="s">
        <v>73</v>
      </c>
      <c r="T21" s="221" t="s">
        <v>20</v>
      </c>
      <c r="U21" s="222"/>
      <c r="V21" s="79" t="s">
        <v>99</v>
      </c>
      <c r="W21" s="79" t="s">
        <v>23</v>
      </c>
      <c r="X21" s="77"/>
      <c r="Y21" s="78" t="s">
        <v>32</v>
      </c>
      <c r="Z21" s="80" t="s">
        <v>73</v>
      </c>
      <c r="AA21" s="221" t="s">
        <v>20</v>
      </c>
      <c r="AB21" s="222"/>
      <c r="AC21" s="79" t="s">
        <v>99</v>
      </c>
      <c r="AD21" s="79" t="s">
        <v>23</v>
      </c>
    </row>
    <row r="22" spans="1:30" ht="15" customHeight="1" x14ac:dyDescent="0.25">
      <c r="A22" s="204"/>
      <c r="B22" s="207"/>
      <c r="C22" s="45" t="s">
        <v>12</v>
      </c>
      <c r="D22" s="81" t="s">
        <v>127</v>
      </c>
      <c r="E22" s="82" t="s">
        <v>128</v>
      </c>
      <c r="F22" s="209" t="s">
        <v>114</v>
      </c>
      <c r="G22" s="209"/>
      <c r="H22" s="83" t="s">
        <v>147</v>
      </c>
      <c r="I22" s="84" t="s">
        <v>239</v>
      </c>
      <c r="J22" s="76"/>
      <c r="K22" s="85" t="s">
        <v>151</v>
      </c>
      <c r="L22" s="86" t="s">
        <v>152</v>
      </c>
      <c r="M22" s="175" t="s">
        <v>114</v>
      </c>
      <c r="N22" s="176"/>
      <c r="O22" s="84">
        <v>200</v>
      </c>
      <c r="P22" s="84" t="s">
        <v>240</v>
      </c>
      <c r="Q22" s="77"/>
      <c r="R22" s="85" t="s">
        <v>151</v>
      </c>
      <c r="S22" s="87" t="s">
        <v>152</v>
      </c>
      <c r="T22" s="160" t="s">
        <v>114</v>
      </c>
      <c r="U22" s="161"/>
      <c r="V22" s="84">
        <v>200</v>
      </c>
      <c r="W22" s="84" t="s">
        <v>241</v>
      </c>
      <c r="X22" s="77"/>
      <c r="Y22" s="85" t="s">
        <v>151</v>
      </c>
      <c r="Z22" s="87" t="s">
        <v>152</v>
      </c>
      <c r="AA22" s="160" t="s">
        <v>114</v>
      </c>
      <c r="AB22" s="161"/>
      <c r="AC22" s="84">
        <v>350</v>
      </c>
      <c r="AD22" s="84" t="s">
        <v>242</v>
      </c>
    </row>
    <row r="23" spans="1:30" x14ac:dyDescent="0.25">
      <c r="A23" s="204"/>
      <c r="B23" s="207"/>
      <c r="C23" s="17" t="s">
        <v>13</v>
      </c>
      <c r="D23" s="85"/>
      <c r="E23" s="88"/>
      <c r="F23" s="182"/>
      <c r="G23" s="182"/>
      <c r="H23" s="89"/>
      <c r="I23" s="87"/>
      <c r="J23" s="76"/>
      <c r="K23" s="81" t="s">
        <v>149</v>
      </c>
      <c r="L23" s="90" t="s">
        <v>150</v>
      </c>
      <c r="M23" s="160" t="s">
        <v>114</v>
      </c>
      <c r="N23" s="161"/>
      <c r="O23" s="87">
        <v>350</v>
      </c>
      <c r="P23" s="87" t="s">
        <v>243</v>
      </c>
      <c r="Q23" s="77"/>
      <c r="R23" s="81" t="s">
        <v>163</v>
      </c>
      <c r="S23" s="90" t="s">
        <v>77</v>
      </c>
      <c r="T23" s="160" t="s">
        <v>114</v>
      </c>
      <c r="U23" s="161"/>
      <c r="V23" s="87">
        <v>200</v>
      </c>
      <c r="W23" s="84" t="s">
        <v>244</v>
      </c>
      <c r="X23" s="77"/>
      <c r="Y23" s="81" t="s">
        <v>163</v>
      </c>
      <c r="Z23" s="90" t="s">
        <v>77</v>
      </c>
      <c r="AA23" s="160" t="s">
        <v>114</v>
      </c>
      <c r="AB23" s="161"/>
      <c r="AC23" s="87">
        <v>200</v>
      </c>
      <c r="AD23" s="84" t="s">
        <v>245</v>
      </c>
    </row>
    <row r="24" spans="1:30" x14ac:dyDescent="0.25">
      <c r="A24" s="204"/>
      <c r="B24" s="207"/>
      <c r="C24" s="17"/>
      <c r="D24" s="85"/>
      <c r="E24" s="91"/>
      <c r="F24" s="182"/>
      <c r="G24" s="182"/>
      <c r="H24" s="89"/>
      <c r="I24" s="87"/>
      <c r="J24" s="76"/>
      <c r="K24" s="92"/>
      <c r="L24" s="92"/>
      <c r="M24" s="160"/>
      <c r="N24" s="161"/>
      <c r="O24" s="87"/>
      <c r="P24" s="87"/>
      <c r="Q24" s="77"/>
      <c r="R24" s="85" t="s">
        <v>164</v>
      </c>
      <c r="S24" s="87" t="s">
        <v>165</v>
      </c>
      <c r="T24" s="160" t="s">
        <v>114</v>
      </c>
      <c r="U24" s="161"/>
      <c r="V24" s="87">
        <v>210</v>
      </c>
      <c r="W24" s="84" t="s">
        <v>246</v>
      </c>
      <c r="X24" s="77"/>
      <c r="Y24" s="87" t="s">
        <v>164</v>
      </c>
      <c r="Z24" s="93" t="s">
        <v>165</v>
      </c>
      <c r="AA24" s="160" t="s">
        <v>114</v>
      </c>
      <c r="AB24" s="161"/>
      <c r="AC24" s="87">
        <v>210</v>
      </c>
      <c r="AD24" s="84" t="s">
        <v>247</v>
      </c>
    </row>
    <row r="25" spans="1:30" x14ac:dyDescent="0.25">
      <c r="A25" s="204"/>
      <c r="B25" s="207"/>
      <c r="C25" s="17"/>
      <c r="D25" s="85" t="s">
        <v>78</v>
      </c>
      <c r="E25" s="91" t="s">
        <v>78</v>
      </c>
      <c r="F25" s="182" t="s">
        <v>78</v>
      </c>
      <c r="G25" s="182"/>
      <c r="H25" s="89" t="s">
        <v>78</v>
      </c>
      <c r="I25" s="87" t="s">
        <v>78</v>
      </c>
      <c r="J25" s="76"/>
      <c r="K25" s="85"/>
      <c r="L25" s="87"/>
      <c r="M25" s="160"/>
      <c r="N25" s="161"/>
      <c r="O25" s="87"/>
      <c r="P25" s="87"/>
      <c r="Q25" s="77"/>
      <c r="R25" s="85"/>
      <c r="S25" s="87"/>
      <c r="T25" s="160"/>
      <c r="U25" s="161"/>
      <c r="V25" s="87"/>
      <c r="W25" s="87"/>
      <c r="X25" s="77"/>
      <c r="Y25" s="85"/>
      <c r="Z25" s="87"/>
      <c r="AA25" s="160"/>
      <c r="AB25" s="161"/>
      <c r="AC25" s="87"/>
      <c r="AD25" s="87"/>
    </row>
    <row r="26" spans="1:30" x14ac:dyDescent="0.25">
      <c r="A26" s="204"/>
      <c r="B26" s="207"/>
      <c r="C26" s="17" t="s">
        <v>16</v>
      </c>
      <c r="D26" s="85" t="s">
        <v>129</v>
      </c>
      <c r="E26" s="91" t="s">
        <v>130</v>
      </c>
      <c r="F26" s="182" t="s">
        <v>114</v>
      </c>
      <c r="G26" s="182"/>
      <c r="H26" s="89" t="s">
        <v>147</v>
      </c>
      <c r="I26" s="87" t="s">
        <v>248</v>
      </c>
      <c r="J26" s="76"/>
      <c r="K26" s="85"/>
      <c r="L26" s="87"/>
      <c r="M26" s="160"/>
      <c r="N26" s="161"/>
      <c r="O26" s="87"/>
      <c r="P26" s="87"/>
      <c r="Q26" s="77"/>
      <c r="R26" s="85"/>
      <c r="S26" s="87"/>
      <c r="T26" s="160"/>
      <c r="U26" s="161"/>
      <c r="V26" s="87"/>
      <c r="W26" s="87"/>
      <c r="X26" s="77"/>
      <c r="Y26" s="85"/>
      <c r="Z26" s="87"/>
      <c r="AA26" s="160"/>
      <c r="AB26" s="161"/>
      <c r="AC26" s="87"/>
      <c r="AD26" s="87"/>
    </row>
    <row r="27" spans="1:30" x14ac:dyDescent="0.25">
      <c r="A27" s="204"/>
      <c r="B27" s="207"/>
      <c r="C27" s="17"/>
      <c r="D27" s="85"/>
      <c r="E27" s="91"/>
      <c r="F27" s="182"/>
      <c r="G27" s="182"/>
      <c r="H27" s="89"/>
      <c r="I27" s="87"/>
      <c r="J27" s="76"/>
      <c r="K27" s="85"/>
      <c r="L27" s="87"/>
      <c r="M27" s="160"/>
      <c r="N27" s="161"/>
      <c r="O27" s="87"/>
      <c r="P27" s="87"/>
      <c r="Q27" s="77"/>
      <c r="R27" s="85"/>
      <c r="S27" s="87"/>
      <c r="T27" s="160"/>
      <c r="U27" s="161"/>
      <c r="V27" s="87"/>
      <c r="W27" s="87"/>
      <c r="X27" s="77"/>
      <c r="Y27" s="85"/>
      <c r="Z27" s="87"/>
      <c r="AA27" s="160"/>
      <c r="AB27" s="161"/>
      <c r="AC27" s="87"/>
      <c r="AD27" s="87"/>
    </row>
    <row r="28" spans="1:30" ht="15.75" thickBot="1" x14ac:dyDescent="0.3">
      <c r="A28" s="204"/>
      <c r="B28" s="207"/>
      <c r="C28" s="36" t="s">
        <v>112</v>
      </c>
      <c r="D28" s="94" t="s">
        <v>131</v>
      </c>
      <c r="E28" s="95" t="s">
        <v>166</v>
      </c>
      <c r="F28" s="84" t="s">
        <v>96</v>
      </c>
      <c r="G28" s="92"/>
      <c r="H28" s="87">
        <v>1.5</v>
      </c>
      <c r="I28" s="87" t="s">
        <v>249</v>
      </c>
      <c r="J28" s="76"/>
      <c r="K28" s="94" t="s">
        <v>131</v>
      </c>
      <c r="L28" s="95" t="s">
        <v>153</v>
      </c>
      <c r="M28" s="189" t="s">
        <v>96</v>
      </c>
      <c r="N28" s="190"/>
      <c r="O28" s="95">
        <v>1.5</v>
      </c>
      <c r="P28" s="95" t="s">
        <v>243</v>
      </c>
      <c r="Q28" s="77"/>
      <c r="R28" s="94" t="s">
        <v>131</v>
      </c>
      <c r="S28" s="95" t="s">
        <v>153</v>
      </c>
      <c r="T28" s="189" t="s">
        <v>96</v>
      </c>
      <c r="U28" s="190"/>
      <c r="V28" s="95" t="s">
        <v>143</v>
      </c>
      <c r="W28" s="95" t="s">
        <v>250</v>
      </c>
      <c r="X28" s="77"/>
      <c r="Y28" s="94" t="s">
        <v>131</v>
      </c>
      <c r="Z28" s="95" t="s">
        <v>132</v>
      </c>
      <c r="AA28" s="189" t="s">
        <v>96</v>
      </c>
      <c r="AB28" s="190"/>
      <c r="AC28" s="95">
        <v>1.6</v>
      </c>
      <c r="AD28" s="95" t="s">
        <v>251</v>
      </c>
    </row>
    <row r="29" spans="1:30" ht="18" thickBot="1" x14ac:dyDescent="0.3">
      <c r="A29" s="204"/>
      <c r="B29" s="207"/>
      <c r="C29" s="47" t="s">
        <v>93</v>
      </c>
      <c r="D29" s="78"/>
      <c r="E29" s="79"/>
      <c r="F29" s="223"/>
      <c r="G29" s="224"/>
      <c r="H29" s="96" t="s">
        <v>252</v>
      </c>
      <c r="I29" s="96" t="s">
        <v>23</v>
      </c>
      <c r="J29" s="76"/>
      <c r="K29" s="78" t="s">
        <v>32</v>
      </c>
      <c r="L29" s="79" t="s">
        <v>94</v>
      </c>
      <c r="M29" s="221" t="s">
        <v>20</v>
      </c>
      <c r="N29" s="222"/>
      <c r="O29" s="79" t="s">
        <v>252</v>
      </c>
      <c r="P29" s="79" t="s">
        <v>23</v>
      </c>
      <c r="Q29" s="77"/>
      <c r="R29" s="78" t="s">
        <v>32</v>
      </c>
      <c r="S29" s="79" t="s">
        <v>94</v>
      </c>
      <c r="T29" s="221" t="s">
        <v>20</v>
      </c>
      <c r="U29" s="222"/>
      <c r="V29" s="79" t="s">
        <v>252</v>
      </c>
      <c r="W29" s="79" t="s">
        <v>23</v>
      </c>
      <c r="X29" s="77"/>
      <c r="Y29" s="78" t="s">
        <v>32</v>
      </c>
      <c r="Z29" s="79" t="s">
        <v>94</v>
      </c>
      <c r="AA29" s="221" t="s">
        <v>20</v>
      </c>
      <c r="AB29" s="222"/>
      <c r="AC29" s="79" t="s">
        <v>252</v>
      </c>
      <c r="AD29" s="79" t="s">
        <v>23</v>
      </c>
    </row>
    <row r="30" spans="1:30" x14ac:dyDescent="0.25">
      <c r="A30" s="204"/>
      <c r="B30" s="207"/>
      <c r="C30" s="45" t="s">
        <v>109</v>
      </c>
      <c r="D30" s="81" t="s">
        <v>19</v>
      </c>
      <c r="E30" s="97" t="s">
        <v>78</v>
      </c>
      <c r="F30" s="175" t="s">
        <v>111</v>
      </c>
      <c r="G30" s="176"/>
      <c r="H30" s="84" t="s">
        <v>78</v>
      </c>
      <c r="I30" s="84" t="s">
        <v>78</v>
      </c>
      <c r="J30" s="76"/>
      <c r="K30" s="81"/>
      <c r="L30" s="84"/>
      <c r="M30" s="175"/>
      <c r="N30" s="176"/>
      <c r="O30" s="84"/>
      <c r="P30" s="84"/>
      <c r="Q30" s="77"/>
      <c r="R30" s="81"/>
      <c r="S30" s="84"/>
      <c r="T30" s="175"/>
      <c r="U30" s="176"/>
      <c r="V30" s="84"/>
      <c r="W30" s="84"/>
      <c r="X30" s="77"/>
      <c r="Y30" s="81"/>
      <c r="Z30" s="84"/>
      <c r="AA30" s="175"/>
      <c r="AB30" s="176"/>
      <c r="AC30" s="84"/>
      <c r="AD30" s="84"/>
    </row>
    <row r="31" spans="1:30" ht="15.75" thickBot="1" x14ac:dyDescent="0.3">
      <c r="A31" s="205"/>
      <c r="B31" s="208"/>
      <c r="C31" s="46" t="s">
        <v>110</v>
      </c>
      <c r="D31" s="98" t="s">
        <v>115</v>
      </c>
      <c r="E31" s="99" t="s">
        <v>78</v>
      </c>
      <c r="F31" s="173" t="s">
        <v>78</v>
      </c>
      <c r="G31" s="174"/>
      <c r="H31" s="99" t="s">
        <v>78</v>
      </c>
      <c r="I31" s="99" t="s">
        <v>78</v>
      </c>
      <c r="J31" s="76"/>
      <c r="K31" s="98"/>
      <c r="L31" s="99"/>
      <c r="M31" s="173"/>
      <c r="N31" s="174"/>
      <c r="O31" s="99"/>
      <c r="P31" s="99"/>
      <c r="Q31" s="77"/>
      <c r="R31" s="98"/>
      <c r="S31" s="99"/>
      <c r="T31" s="173"/>
      <c r="U31" s="174"/>
      <c r="V31" s="99"/>
      <c r="W31" s="99"/>
      <c r="X31" s="77"/>
      <c r="Y31" s="98"/>
      <c r="Z31" s="99"/>
      <c r="AA31" s="173"/>
      <c r="AB31" s="174"/>
      <c r="AC31" s="99"/>
      <c r="AD31" s="99"/>
    </row>
    <row r="32" spans="1:30" ht="15.75" thickBot="1" x14ac:dyDescent="0.3">
      <c r="A32" s="18"/>
      <c r="B32" s="15"/>
      <c r="C32" s="15"/>
      <c r="D32" s="171"/>
      <c r="E32" s="172"/>
      <c r="F32" s="172"/>
      <c r="G32" s="172"/>
      <c r="H32" s="172"/>
      <c r="I32" s="172"/>
      <c r="J32" s="76"/>
      <c r="K32" s="171"/>
      <c r="L32" s="172"/>
      <c r="M32" s="172"/>
      <c r="N32" s="172"/>
      <c r="O32" s="172"/>
      <c r="P32" s="172"/>
      <c r="Q32" s="77"/>
      <c r="R32" s="171"/>
      <c r="S32" s="172"/>
      <c r="T32" s="172"/>
      <c r="U32" s="172"/>
      <c r="V32" s="172"/>
      <c r="W32" s="172"/>
      <c r="X32" s="77"/>
      <c r="Y32" s="171"/>
      <c r="Z32" s="172"/>
      <c r="AA32" s="172"/>
      <c r="AB32" s="172"/>
      <c r="AC32" s="172"/>
      <c r="AD32" s="172"/>
    </row>
    <row r="33" spans="1:31" ht="60" customHeight="1" thickBot="1" x14ac:dyDescent="0.3">
      <c r="A33" s="225" t="s">
        <v>21</v>
      </c>
      <c r="B33" s="206" t="s">
        <v>104</v>
      </c>
      <c r="C33" s="47"/>
      <c r="D33" s="100" t="s">
        <v>32</v>
      </c>
      <c r="E33" s="79" t="s">
        <v>20</v>
      </c>
      <c r="F33" s="221" t="s">
        <v>105</v>
      </c>
      <c r="G33" s="222"/>
      <c r="H33" s="228" t="s">
        <v>23</v>
      </c>
      <c r="I33" s="228"/>
      <c r="J33" s="76"/>
      <c r="K33" s="100" t="s">
        <v>32</v>
      </c>
      <c r="L33" s="79" t="s">
        <v>20</v>
      </c>
      <c r="M33" s="221" t="s">
        <v>97</v>
      </c>
      <c r="N33" s="222"/>
      <c r="O33" s="228" t="s">
        <v>23</v>
      </c>
      <c r="P33" s="228"/>
      <c r="Q33" s="77"/>
      <c r="R33" s="100" t="s">
        <v>32</v>
      </c>
      <c r="S33" s="79" t="s">
        <v>20</v>
      </c>
      <c r="T33" s="221" t="s">
        <v>97</v>
      </c>
      <c r="U33" s="222"/>
      <c r="V33" s="228" t="s">
        <v>23</v>
      </c>
      <c r="W33" s="228"/>
      <c r="X33" s="77"/>
      <c r="Y33" s="100" t="s">
        <v>32</v>
      </c>
      <c r="Z33" s="79" t="s">
        <v>20</v>
      </c>
      <c r="AA33" s="221" t="s">
        <v>97</v>
      </c>
      <c r="AB33" s="222"/>
      <c r="AC33" s="228" t="s">
        <v>23</v>
      </c>
      <c r="AD33" s="228"/>
    </row>
    <row r="34" spans="1:31" ht="17.25" customHeight="1" x14ac:dyDescent="0.25">
      <c r="A34" s="226"/>
      <c r="B34" s="207"/>
      <c r="C34" s="45" t="s">
        <v>24</v>
      </c>
      <c r="D34" s="83" t="s">
        <v>133</v>
      </c>
      <c r="E34" s="84" t="s">
        <v>96</v>
      </c>
      <c r="F34" s="175" t="s">
        <v>134</v>
      </c>
      <c r="G34" s="176"/>
      <c r="H34" s="209" t="s">
        <v>253</v>
      </c>
      <c r="I34" s="209"/>
      <c r="J34" s="76"/>
      <c r="K34" s="83" t="s">
        <v>154</v>
      </c>
      <c r="L34" s="84" t="s">
        <v>96</v>
      </c>
      <c r="M34" s="175" t="s">
        <v>177</v>
      </c>
      <c r="N34" s="176"/>
      <c r="O34" s="209" t="s">
        <v>254</v>
      </c>
      <c r="P34" s="209"/>
      <c r="Q34" s="77"/>
      <c r="R34" s="83" t="s">
        <v>167</v>
      </c>
      <c r="S34" s="84" t="s">
        <v>96</v>
      </c>
      <c r="T34" s="175" t="s">
        <v>168</v>
      </c>
      <c r="U34" s="176"/>
      <c r="V34" s="209" t="s">
        <v>255</v>
      </c>
      <c r="W34" s="209"/>
      <c r="X34" s="77"/>
      <c r="Y34" s="83" t="s">
        <v>167</v>
      </c>
      <c r="Z34" s="84" t="s">
        <v>96</v>
      </c>
      <c r="AA34" s="175" t="s">
        <v>168</v>
      </c>
      <c r="AB34" s="176"/>
      <c r="AC34" s="209" t="s">
        <v>256</v>
      </c>
      <c r="AD34" s="209"/>
    </row>
    <row r="35" spans="1:31" ht="17.25" customHeight="1" x14ac:dyDescent="0.25">
      <c r="A35" s="226"/>
      <c r="B35" s="207"/>
      <c r="C35" s="17" t="s">
        <v>24</v>
      </c>
      <c r="D35" s="89" t="s">
        <v>135</v>
      </c>
      <c r="E35" s="87" t="s">
        <v>96</v>
      </c>
      <c r="F35" s="160" t="s">
        <v>143</v>
      </c>
      <c r="G35" s="161"/>
      <c r="H35" s="160" t="s">
        <v>257</v>
      </c>
      <c r="I35" s="161"/>
      <c r="J35" s="76"/>
      <c r="K35" s="89" t="s">
        <v>155</v>
      </c>
      <c r="L35" s="87" t="s">
        <v>96</v>
      </c>
      <c r="M35" s="160" t="s">
        <v>156</v>
      </c>
      <c r="N35" s="161"/>
      <c r="O35" s="209" t="s">
        <v>254</v>
      </c>
      <c r="P35" s="209"/>
      <c r="Q35" s="77"/>
      <c r="R35" s="89" t="s">
        <v>170</v>
      </c>
      <c r="S35" s="84" t="s">
        <v>96</v>
      </c>
      <c r="T35" s="160" t="s">
        <v>169</v>
      </c>
      <c r="U35" s="161"/>
      <c r="V35" s="209" t="s">
        <v>250</v>
      </c>
      <c r="W35" s="209"/>
      <c r="X35" s="77"/>
      <c r="Y35" s="89" t="s">
        <v>174</v>
      </c>
      <c r="Z35" s="84" t="s">
        <v>96</v>
      </c>
      <c r="AA35" s="160" t="s">
        <v>175</v>
      </c>
      <c r="AB35" s="161"/>
      <c r="AC35" s="209" t="s">
        <v>251</v>
      </c>
      <c r="AD35" s="209"/>
    </row>
    <row r="36" spans="1:31" x14ac:dyDescent="0.25">
      <c r="A36" s="226"/>
      <c r="B36" s="207"/>
      <c r="C36" s="17" t="s">
        <v>25</v>
      </c>
      <c r="D36" s="89" t="s">
        <v>136</v>
      </c>
      <c r="E36" s="87" t="s">
        <v>96</v>
      </c>
      <c r="F36" s="160" t="s">
        <v>137</v>
      </c>
      <c r="G36" s="161"/>
      <c r="H36" s="182" t="s">
        <v>258</v>
      </c>
      <c r="I36" s="182"/>
      <c r="J36" s="76"/>
      <c r="K36" s="89" t="s">
        <v>157</v>
      </c>
      <c r="L36" s="87" t="s">
        <v>96</v>
      </c>
      <c r="M36" s="160" t="s">
        <v>156</v>
      </c>
      <c r="N36" s="161"/>
      <c r="O36" s="209" t="s">
        <v>259</v>
      </c>
      <c r="P36" s="209"/>
      <c r="Q36" s="77"/>
      <c r="R36" s="89" t="s">
        <v>141</v>
      </c>
      <c r="S36" s="84" t="s">
        <v>96</v>
      </c>
      <c r="T36" s="160" t="s">
        <v>142</v>
      </c>
      <c r="U36" s="161"/>
      <c r="V36" s="209" t="s">
        <v>260</v>
      </c>
      <c r="W36" s="209"/>
      <c r="X36" s="77"/>
      <c r="Y36" s="89" t="s">
        <v>176</v>
      </c>
      <c r="Z36" s="84" t="s">
        <v>96</v>
      </c>
      <c r="AA36" s="160" t="s">
        <v>175</v>
      </c>
      <c r="AB36" s="161"/>
      <c r="AC36" s="209" t="s">
        <v>260</v>
      </c>
      <c r="AD36" s="209"/>
    </row>
    <row r="37" spans="1:31" x14ac:dyDescent="0.25">
      <c r="A37" s="226"/>
      <c r="B37" s="207"/>
      <c r="C37" s="17" t="s">
        <v>25</v>
      </c>
      <c r="D37" s="89" t="s">
        <v>141</v>
      </c>
      <c r="E37" s="87" t="s">
        <v>96</v>
      </c>
      <c r="F37" s="160" t="s">
        <v>142</v>
      </c>
      <c r="G37" s="161"/>
      <c r="H37" s="182" t="s">
        <v>261</v>
      </c>
      <c r="I37" s="182"/>
      <c r="J37" s="76"/>
      <c r="K37" s="89" t="s">
        <v>158</v>
      </c>
      <c r="L37" s="87" t="s">
        <v>96</v>
      </c>
      <c r="M37" s="182" t="s">
        <v>159</v>
      </c>
      <c r="N37" s="182"/>
      <c r="O37" s="209" t="s">
        <v>262</v>
      </c>
      <c r="P37" s="209"/>
      <c r="Q37" s="77"/>
      <c r="R37" s="89"/>
      <c r="S37" s="87"/>
      <c r="T37" s="182"/>
      <c r="U37" s="182"/>
      <c r="V37" s="182"/>
      <c r="W37" s="182"/>
      <c r="X37" s="77"/>
      <c r="Y37" s="89"/>
      <c r="Z37" s="87"/>
      <c r="AA37" s="182"/>
      <c r="AB37" s="182"/>
      <c r="AC37" s="182"/>
      <c r="AD37" s="182"/>
    </row>
    <row r="38" spans="1:31" x14ac:dyDescent="0.25">
      <c r="A38" s="226"/>
      <c r="B38" s="207"/>
      <c r="C38" s="17" t="s">
        <v>22</v>
      </c>
      <c r="D38" s="89" t="s">
        <v>138</v>
      </c>
      <c r="E38" s="87" t="s">
        <v>96</v>
      </c>
      <c r="F38" s="160" t="s">
        <v>139</v>
      </c>
      <c r="G38" s="161"/>
      <c r="H38" s="160" t="s">
        <v>258</v>
      </c>
      <c r="I38" s="161"/>
      <c r="J38" s="76"/>
      <c r="K38" s="89" t="s">
        <v>160</v>
      </c>
      <c r="L38" s="87" t="s">
        <v>96</v>
      </c>
      <c r="M38" s="160" t="s">
        <v>159</v>
      </c>
      <c r="N38" s="161"/>
      <c r="O38" s="209" t="s">
        <v>263</v>
      </c>
      <c r="P38" s="209"/>
      <c r="Q38" s="77"/>
      <c r="R38" s="89"/>
      <c r="S38" s="87"/>
      <c r="T38" s="160"/>
      <c r="U38" s="161"/>
      <c r="V38" s="160"/>
      <c r="W38" s="161"/>
      <c r="X38" s="77"/>
      <c r="Y38" s="89"/>
      <c r="Z38" s="87"/>
      <c r="AA38" s="160"/>
      <c r="AB38" s="161"/>
      <c r="AC38" s="160"/>
      <c r="AD38" s="161"/>
    </row>
    <row r="39" spans="1:31" ht="15.75" thickBot="1" x14ac:dyDescent="0.3">
      <c r="A39" s="226"/>
      <c r="B39" s="207"/>
      <c r="C39" s="46" t="s">
        <v>22</v>
      </c>
      <c r="D39" s="101" t="s">
        <v>140</v>
      </c>
      <c r="E39" s="99" t="s">
        <v>96</v>
      </c>
      <c r="F39" s="173" t="s">
        <v>142</v>
      </c>
      <c r="G39" s="174"/>
      <c r="H39" s="173" t="s">
        <v>249</v>
      </c>
      <c r="I39" s="174"/>
      <c r="J39" s="76"/>
      <c r="K39" s="101"/>
      <c r="L39" s="99"/>
      <c r="M39" s="173"/>
      <c r="N39" s="174"/>
      <c r="O39" s="173"/>
      <c r="P39" s="174"/>
      <c r="Q39" s="77"/>
      <c r="R39" s="101"/>
      <c r="S39" s="99"/>
      <c r="T39" s="173"/>
      <c r="U39" s="174"/>
      <c r="V39" s="173"/>
      <c r="W39" s="174"/>
      <c r="X39" s="77"/>
      <c r="Y39" s="101"/>
      <c r="Z39" s="99"/>
      <c r="AA39" s="173"/>
      <c r="AB39" s="174"/>
      <c r="AC39" s="173"/>
      <c r="AD39" s="174"/>
    </row>
    <row r="40" spans="1:31" s="37" customFormat="1" ht="15.75" thickBot="1" x14ac:dyDescent="0.3">
      <c r="A40" s="227"/>
      <c r="B40" s="208"/>
      <c r="C40" s="47" t="s">
        <v>70</v>
      </c>
      <c r="D40" s="230" t="s">
        <v>78</v>
      </c>
      <c r="E40" s="231"/>
      <c r="F40" s="231"/>
      <c r="G40" s="222"/>
      <c r="H40" s="229" t="s">
        <v>78</v>
      </c>
      <c r="I40" s="229"/>
      <c r="J40" s="77"/>
      <c r="K40" s="231"/>
      <c r="L40" s="231"/>
      <c r="M40" s="231"/>
      <c r="N40" s="222"/>
      <c r="O40" s="229"/>
      <c r="P40" s="229"/>
      <c r="Q40" s="102"/>
      <c r="R40" s="231"/>
      <c r="S40" s="231"/>
      <c r="T40" s="231"/>
      <c r="U40" s="222"/>
      <c r="V40" s="229"/>
      <c r="W40" s="229"/>
      <c r="X40" s="102"/>
      <c r="Y40" s="231"/>
      <c r="Z40" s="231"/>
      <c r="AA40" s="231"/>
      <c r="AB40" s="222"/>
      <c r="AC40" s="229"/>
      <c r="AD40" s="229"/>
      <c r="AE40" s="38"/>
    </row>
    <row r="41" spans="1:31" ht="15.75" thickBot="1" x14ac:dyDescent="0.3">
      <c r="A41" s="12"/>
      <c r="B41" s="15"/>
      <c r="C41" s="15"/>
      <c r="D41" s="171"/>
      <c r="E41" s="172"/>
      <c r="F41" s="172"/>
      <c r="G41" s="172"/>
      <c r="H41" s="172"/>
      <c r="I41" s="172"/>
      <c r="J41" s="76"/>
      <c r="K41" s="171"/>
      <c r="L41" s="172"/>
      <c r="M41" s="172"/>
      <c r="N41" s="172"/>
      <c r="O41" s="172"/>
      <c r="P41" s="172"/>
      <c r="Q41" s="77"/>
      <c r="R41" s="171"/>
      <c r="S41" s="172"/>
      <c r="T41" s="172"/>
      <c r="U41" s="172"/>
      <c r="V41" s="172"/>
      <c r="W41" s="172"/>
      <c r="X41" s="77"/>
      <c r="Y41" s="171"/>
      <c r="Z41" s="172"/>
      <c r="AA41" s="172"/>
      <c r="AB41" s="172"/>
      <c r="AC41" s="172"/>
      <c r="AD41" s="172"/>
    </row>
    <row r="42" spans="1:31" ht="15.75" thickBot="1" x14ac:dyDescent="0.3">
      <c r="A42" s="248" t="s">
        <v>26</v>
      </c>
      <c r="B42" s="249" t="s">
        <v>106</v>
      </c>
      <c r="C42" s="48"/>
      <c r="D42" s="252" t="s">
        <v>9</v>
      </c>
      <c r="E42" s="253"/>
      <c r="F42" s="257" t="s">
        <v>10</v>
      </c>
      <c r="G42" s="257"/>
      <c r="H42" s="257"/>
      <c r="I42" s="257"/>
      <c r="J42" s="103"/>
      <c r="K42" s="256" t="s">
        <v>9</v>
      </c>
      <c r="L42" s="253"/>
      <c r="M42" s="257" t="s">
        <v>10</v>
      </c>
      <c r="N42" s="257"/>
      <c r="O42" s="257"/>
      <c r="P42" s="257"/>
      <c r="Q42" s="103" t="s">
        <v>9</v>
      </c>
      <c r="R42" s="256" t="s">
        <v>9</v>
      </c>
      <c r="S42" s="253"/>
      <c r="T42" s="257" t="s">
        <v>10</v>
      </c>
      <c r="U42" s="257"/>
      <c r="V42" s="257"/>
      <c r="W42" s="257"/>
      <c r="X42" s="103"/>
      <c r="Y42" s="256" t="s">
        <v>9</v>
      </c>
      <c r="Z42" s="253"/>
      <c r="AA42" s="257" t="s">
        <v>10</v>
      </c>
      <c r="AB42" s="257"/>
      <c r="AC42" s="257"/>
      <c r="AD42" s="257"/>
      <c r="AE42" s="58"/>
    </row>
    <row r="43" spans="1:31" ht="15" customHeight="1" x14ac:dyDescent="0.25">
      <c r="A43" s="248"/>
      <c r="B43" s="250"/>
      <c r="C43" s="16" t="s">
        <v>27</v>
      </c>
      <c r="D43" s="254" t="s">
        <v>78</v>
      </c>
      <c r="E43" s="255"/>
      <c r="F43" s="162" t="s">
        <v>264</v>
      </c>
      <c r="G43" s="162"/>
      <c r="H43" s="162"/>
      <c r="I43" s="162"/>
      <c r="J43" s="76"/>
      <c r="K43" s="254"/>
      <c r="L43" s="255"/>
      <c r="M43" s="162" t="s">
        <v>265</v>
      </c>
      <c r="N43" s="162"/>
      <c r="O43" s="162"/>
      <c r="P43" s="162"/>
      <c r="Q43" s="77"/>
      <c r="R43" s="254"/>
      <c r="S43" s="255"/>
      <c r="T43" s="162" t="s">
        <v>266</v>
      </c>
      <c r="U43" s="162"/>
      <c r="V43" s="162"/>
      <c r="W43" s="162"/>
      <c r="X43" s="77"/>
      <c r="Y43" s="254"/>
      <c r="Z43" s="255"/>
      <c r="AA43" s="162" t="s">
        <v>267</v>
      </c>
      <c r="AB43" s="162"/>
      <c r="AC43" s="162"/>
      <c r="AD43" s="162"/>
    </row>
    <row r="44" spans="1:31" x14ac:dyDescent="0.25">
      <c r="A44" s="248"/>
      <c r="B44" s="250"/>
      <c r="C44" s="16" t="s">
        <v>28</v>
      </c>
      <c r="D44" s="177" t="s">
        <v>100</v>
      </c>
      <c r="E44" s="178"/>
      <c r="F44" s="163" t="s">
        <v>78</v>
      </c>
      <c r="G44" s="163"/>
      <c r="H44" s="163"/>
      <c r="I44" s="163"/>
      <c r="J44" s="76"/>
      <c r="K44" s="177" t="s">
        <v>100</v>
      </c>
      <c r="L44" s="178"/>
      <c r="M44" s="163"/>
      <c r="N44" s="163"/>
      <c r="O44" s="163"/>
      <c r="P44" s="163"/>
      <c r="Q44" s="77"/>
      <c r="R44" s="177" t="s">
        <v>100</v>
      </c>
      <c r="S44" s="178"/>
      <c r="T44" s="163"/>
      <c r="U44" s="163"/>
      <c r="V44" s="163"/>
      <c r="W44" s="163"/>
      <c r="X44" s="77"/>
      <c r="Y44" s="177" t="s">
        <v>100</v>
      </c>
      <c r="Z44" s="178"/>
      <c r="AA44" s="163"/>
      <c r="AB44" s="163"/>
      <c r="AC44" s="163"/>
      <c r="AD44" s="163"/>
    </row>
    <row r="45" spans="1:31" ht="15.75" thickBot="1" x14ac:dyDescent="0.3">
      <c r="A45" s="248"/>
      <c r="B45" s="251"/>
      <c r="C45" s="49" t="s">
        <v>29</v>
      </c>
      <c r="D45" s="234" t="s">
        <v>268</v>
      </c>
      <c r="E45" s="235"/>
      <c r="F45" s="238"/>
      <c r="G45" s="219"/>
      <c r="H45" s="219"/>
      <c r="I45" s="219"/>
      <c r="J45" s="76"/>
      <c r="K45" s="234" t="s">
        <v>228</v>
      </c>
      <c r="L45" s="235"/>
      <c r="M45" s="219"/>
      <c r="N45" s="219"/>
      <c r="O45" s="219"/>
      <c r="P45" s="219"/>
      <c r="Q45" s="77"/>
      <c r="R45" s="234" t="s">
        <v>229</v>
      </c>
      <c r="S45" s="235"/>
      <c r="T45" s="219"/>
      <c r="U45" s="219"/>
      <c r="V45" s="219"/>
      <c r="W45" s="219"/>
      <c r="X45" s="77"/>
      <c r="Y45" s="234" t="s">
        <v>269</v>
      </c>
      <c r="Z45" s="235"/>
      <c r="AA45" s="219"/>
      <c r="AB45" s="219"/>
      <c r="AC45" s="219"/>
      <c r="AD45" s="219"/>
    </row>
    <row r="46" spans="1:31" ht="15.75" thickBot="1" x14ac:dyDescent="0.3">
      <c r="A46" s="12"/>
      <c r="B46" s="15"/>
      <c r="C46" s="15"/>
      <c r="D46" s="171"/>
      <c r="E46" s="172"/>
      <c r="F46" s="172"/>
      <c r="G46" s="172"/>
      <c r="H46" s="172"/>
      <c r="I46" s="172"/>
      <c r="J46" s="76"/>
      <c r="K46" s="171"/>
      <c r="L46" s="172"/>
      <c r="M46" s="172"/>
      <c r="N46" s="172"/>
      <c r="O46" s="172"/>
      <c r="P46" s="172"/>
      <c r="Q46" s="77"/>
      <c r="R46" s="171"/>
      <c r="S46" s="172"/>
      <c r="T46" s="172"/>
      <c r="U46" s="172"/>
      <c r="V46" s="172"/>
      <c r="W46" s="172"/>
      <c r="X46" s="77"/>
      <c r="Y46" s="171"/>
      <c r="Z46" s="172"/>
      <c r="AA46" s="172"/>
      <c r="AB46" s="172"/>
      <c r="AC46" s="172"/>
      <c r="AD46" s="172"/>
    </row>
    <row r="47" spans="1:31" ht="15" customHeight="1" thickBot="1" x14ac:dyDescent="0.3">
      <c r="A47" s="243" t="s">
        <v>30</v>
      </c>
      <c r="B47" s="245" t="s">
        <v>107</v>
      </c>
      <c r="C47" s="57"/>
      <c r="D47" s="104" t="s">
        <v>9</v>
      </c>
      <c r="E47" s="236" t="s">
        <v>89</v>
      </c>
      <c r="F47" s="237"/>
      <c r="G47" s="232" t="s">
        <v>88</v>
      </c>
      <c r="H47" s="232"/>
      <c r="I47" s="232"/>
      <c r="J47" s="76"/>
      <c r="K47" s="104" t="s">
        <v>9</v>
      </c>
      <c r="L47" s="236" t="s">
        <v>89</v>
      </c>
      <c r="M47" s="237"/>
      <c r="N47" s="232" t="s">
        <v>88</v>
      </c>
      <c r="O47" s="232"/>
      <c r="P47" s="232"/>
      <c r="Q47" s="77"/>
      <c r="R47" s="104" t="s">
        <v>9</v>
      </c>
      <c r="S47" s="236" t="s">
        <v>89</v>
      </c>
      <c r="T47" s="237"/>
      <c r="U47" s="232" t="s">
        <v>88</v>
      </c>
      <c r="V47" s="232"/>
      <c r="W47" s="232"/>
      <c r="X47" s="77"/>
      <c r="Y47" s="104" t="s">
        <v>9</v>
      </c>
      <c r="Z47" s="236" t="s">
        <v>89</v>
      </c>
      <c r="AA47" s="237"/>
      <c r="AB47" s="232" t="s">
        <v>88</v>
      </c>
      <c r="AC47" s="232"/>
      <c r="AD47" s="232"/>
    </row>
    <row r="48" spans="1:31" ht="15" customHeight="1" x14ac:dyDescent="0.25">
      <c r="A48" s="244"/>
      <c r="B48" s="246"/>
      <c r="C48" s="56" t="s">
        <v>35</v>
      </c>
      <c r="D48" s="105" t="s">
        <v>76</v>
      </c>
      <c r="E48" s="241">
        <v>3.4</v>
      </c>
      <c r="F48" s="242"/>
      <c r="G48" s="233">
        <v>1088</v>
      </c>
      <c r="H48" s="233"/>
      <c r="I48" s="233"/>
      <c r="J48" s="76"/>
      <c r="K48" s="105" t="s">
        <v>76</v>
      </c>
      <c r="L48" s="241">
        <v>6.1</v>
      </c>
      <c r="M48" s="242"/>
      <c r="N48" s="233">
        <v>915</v>
      </c>
      <c r="O48" s="233"/>
      <c r="P48" s="233"/>
      <c r="Q48" s="77"/>
      <c r="R48" s="105" t="s">
        <v>76</v>
      </c>
      <c r="S48" s="241">
        <v>4.1500000000000004</v>
      </c>
      <c r="T48" s="242"/>
      <c r="U48" s="233">
        <v>1133</v>
      </c>
      <c r="V48" s="233"/>
      <c r="W48" s="233"/>
      <c r="X48" s="77"/>
      <c r="Y48" s="105" t="s">
        <v>76</v>
      </c>
      <c r="Z48" s="241">
        <v>7.8</v>
      </c>
      <c r="AA48" s="242"/>
      <c r="AB48" s="233">
        <v>1092</v>
      </c>
      <c r="AC48" s="233"/>
      <c r="AD48" s="233"/>
    </row>
    <row r="49" spans="1:31" ht="15.75" thickBot="1" x14ac:dyDescent="0.3">
      <c r="A49" s="244"/>
      <c r="B49" s="247"/>
      <c r="C49" s="55" t="s">
        <v>34</v>
      </c>
      <c r="D49" s="106" t="s">
        <v>98</v>
      </c>
      <c r="E49" s="239" t="s">
        <v>78</v>
      </c>
      <c r="F49" s="240"/>
      <c r="G49" s="170" t="s">
        <v>78</v>
      </c>
      <c r="H49" s="170"/>
      <c r="I49" s="170"/>
      <c r="J49" s="76"/>
      <c r="K49" s="106"/>
      <c r="L49" s="239"/>
      <c r="M49" s="240"/>
      <c r="N49" s="170"/>
      <c r="O49" s="170"/>
      <c r="P49" s="170"/>
      <c r="Q49" s="77"/>
      <c r="R49" s="106"/>
      <c r="S49" s="239"/>
      <c r="T49" s="240"/>
      <c r="U49" s="170"/>
      <c r="V49" s="170"/>
      <c r="W49" s="170"/>
      <c r="X49" s="77"/>
      <c r="Y49" s="106"/>
      <c r="Z49" s="239"/>
      <c r="AA49" s="240"/>
      <c r="AB49" s="170"/>
      <c r="AC49" s="170"/>
      <c r="AD49" s="170"/>
    </row>
    <row r="50" spans="1:31" ht="15.75" thickBot="1" x14ac:dyDescent="0.3">
      <c r="A50" s="12"/>
      <c r="B50" s="15"/>
      <c r="C50" s="15"/>
      <c r="D50" s="171"/>
      <c r="E50" s="172"/>
      <c r="F50" s="172"/>
      <c r="G50" s="172"/>
      <c r="H50" s="172"/>
      <c r="I50" s="172"/>
      <c r="J50" s="76"/>
      <c r="K50" s="171"/>
      <c r="L50" s="172"/>
      <c r="M50" s="172"/>
      <c r="N50" s="172"/>
      <c r="O50" s="172"/>
      <c r="P50" s="172"/>
      <c r="Q50" s="77"/>
      <c r="R50" s="171"/>
      <c r="S50" s="172"/>
      <c r="T50" s="172"/>
      <c r="U50" s="172"/>
      <c r="V50" s="172"/>
      <c r="W50" s="172"/>
      <c r="X50" s="77"/>
      <c r="Y50" s="171"/>
      <c r="Z50" s="172"/>
      <c r="AA50" s="172"/>
      <c r="AB50" s="172"/>
      <c r="AC50" s="172"/>
      <c r="AD50" s="172"/>
    </row>
    <row r="51" spans="1:31" ht="15" customHeight="1" x14ac:dyDescent="0.25">
      <c r="A51" s="225" t="s">
        <v>31</v>
      </c>
      <c r="B51" s="264" t="s">
        <v>116</v>
      </c>
      <c r="C51" s="54" t="s">
        <v>36</v>
      </c>
      <c r="D51" s="267">
        <v>31</v>
      </c>
      <c r="E51" s="268"/>
      <c r="F51" s="268"/>
      <c r="G51" s="268"/>
      <c r="H51" s="268"/>
      <c r="I51" s="268"/>
      <c r="J51" s="76"/>
      <c r="K51" s="267">
        <v>10</v>
      </c>
      <c r="L51" s="268"/>
      <c r="M51" s="268"/>
      <c r="N51" s="268"/>
      <c r="O51" s="268"/>
      <c r="P51" s="268"/>
      <c r="Q51" s="77"/>
      <c r="R51" s="267">
        <v>13</v>
      </c>
      <c r="S51" s="268"/>
      <c r="T51" s="268"/>
      <c r="U51" s="268"/>
      <c r="V51" s="268"/>
      <c r="W51" s="268"/>
      <c r="X51" s="77"/>
      <c r="Y51" s="267">
        <v>28</v>
      </c>
      <c r="Z51" s="268"/>
      <c r="AA51" s="268"/>
      <c r="AB51" s="268"/>
      <c r="AC51" s="268"/>
      <c r="AD51" s="268"/>
    </row>
    <row r="52" spans="1:31" x14ac:dyDescent="0.25">
      <c r="A52" s="226"/>
      <c r="B52" s="265"/>
      <c r="C52" s="19" t="s">
        <v>71</v>
      </c>
      <c r="D52" s="161">
        <v>295</v>
      </c>
      <c r="E52" s="182"/>
      <c r="F52" s="182"/>
      <c r="G52" s="182"/>
      <c r="H52" s="182"/>
      <c r="I52" s="182"/>
      <c r="J52" s="76"/>
      <c r="K52" s="161">
        <v>105</v>
      </c>
      <c r="L52" s="182"/>
      <c r="M52" s="182"/>
      <c r="N52" s="182"/>
      <c r="O52" s="182"/>
      <c r="P52" s="182"/>
      <c r="Q52" s="77"/>
      <c r="R52" s="161">
        <v>120</v>
      </c>
      <c r="S52" s="182"/>
      <c r="T52" s="182"/>
      <c r="U52" s="182"/>
      <c r="V52" s="182"/>
      <c r="W52" s="182"/>
      <c r="X52" s="77"/>
      <c r="Y52" s="161">
        <v>130</v>
      </c>
      <c r="Z52" s="182"/>
      <c r="AA52" s="182"/>
      <c r="AB52" s="182"/>
      <c r="AC52" s="182"/>
      <c r="AD52" s="182"/>
    </row>
    <row r="53" spans="1:31" x14ac:dyDescent="0.25">
      <c r="A53" s="226"/>
      <c r="B53" s="265"/>
      <c r="C53" s="19" t="s">
        <v>42</v>
      </c>
      <c r="D53" s="161">
        <v>202</v>
      </c>
      <c r="E53" s="182"/>
      <c r="F53" s="182"/>
      <c r="G53" s="182"/>
      <c r="H53" s="182"/>
      <c r="I53" s="182"/>
      <c r="J53" s="76"/>
      <c r="K53" s="161">
        <v>120</v>
      </c>
      <c r="L53" s="182"/>
      <c r="M53" s="182"/>
      <c r="N53" s="182"/>
      <c r="O53" s="182"/>
      <c r="P53" s="182"/>
      <c r="Q53" s="77"/>
      <c r="R53" s="161">
        <v>110</v>
      </c>
      <c r="S53" s="182"/>
      <c r="T53" s="182"/>
      <c r="U53" s="182"/>
      <c r="V53" s="182"/>
      <c r="W53" s="182"/>
      <c r="X53" s="77"/>
      <c r="Y53" s="161">
        <v>110</v>
      </c>
      <c r="Z53" s="182"/>
      <c r="AA53" s="182"/>
      <c r="AB53" s="182"/>
      <c r="AC53" s="182"/>
      <c r="AD53" s="182"/>
    </row>
    <row r="54" spans="1:31" x14ac:dyDescent="0.25">
      <c r="A54" s="226"/>
      <c r="B54" s="265"/>
      <c r="C54" s="19" t="s">
        <v>43</v>
      </c>
      <c r="D54" s="161">
        <v>110</v>
      </c>
      <c r="E54" s="182"/>
      <c r="F54" s="182"/>
      <c r="G54" s="182"/>
      <c r="H54" s="182"/>
      <c r="I54" s="182"/>
      <c r="J54" s="76"/>
      <c r="K54" s="161">
        <v>70</v>
      </c>
      <c r="L54" s="182"/>
      <c r="M54" s="182"/>
      <c r="N54" s="182"/>
      <c r="O54" s="182"/>
      <c r="P54" s="182"/>
      <c r="Q54" s="77"/>
      <c r="R54" s="161">
        <v>70</v>
      </c>
      <c r="S54" s="182"/>
      <c r="T54" s="182"/>
      <c r="U54" s="182"/>
      <c r="V54" s="182"/>
      <c r="W54" s="182"/>
      <c r="X54" s="77"/>
      <c r="Y54" s="161">
        <v>80</v>
      </c>
      <c r="Z54" s="182"/>
      <c r="AA54" s="182"/>
      <c r="AB54" s="182"/>
      <c r="AC54" s="182"/>
      <c r="AD54" s="182"/>
    </row>
    <row r="55" spans="1:31" x14ac:dyDescent="0.25">
      <c r="A55" s="226"/>
      <c r="B55" s="265"/>
      <c r="C55" s="17" t="s">
        <v>44</v>
      </c>
      <c r="D55" s="258" t="s">
        <v>78</v>
      </c>
      <c r="E55" s="259"/>
      <c r="F55" s="259"/>
      <c r="G55" s="259"/>
      <c r="H55" s="259"/>
      <c r="I55" s="259"/>
      <c r="J55" s="76"/>
      <c r="K55" s="258"/>
      <c r="L55" s="259"/>
      <c r="M55" s="259"/>
      <c r="N55" s="259"/>
      <c r="O55" s="259"/>
      <c r="P55" s="259"/>
      <c r="Q55" s="77"/>
      <c r="R55" s="258"/>
      <c r="S55" s="259"/>
      <c r="T55" s="259"/>
      <c r="U55" s="259"/>
      <c r="V55" s="259"/>
      <c r="W55" s="259"/>
      <c r="X55" s="77"/>
      <c r="Y55" s="258"/>
      <c r="Z55" s="259"/>
      <c r="AA55" s="259"/>
      <c r="AB55" s="259"/>
      <c r="AC55" s="259"/>
      <c r="AD55" s="259"/>
    </row>
    <row r="56" spans="1:31" x14ac:dyDescent="0.25">
      <c r="A56" s="226"/>
      <c r="B56" s="265"/>
      <c r="C56" s="17" t="s">
        <v>45</v>
      </c>
      <c r="D56" s="258" t="s">
        <v>78</v>
      </c>
      <c r="E56" s="259"/>
      <c r="F56" s="259"/>
      <c r="G56" s="259"/>
      <c r="H56" s="259"/>
      <c r="I56" s="259"/>
      <c r="J56" s="76"/>
      <c r="K56" s="258"/>
      <c r="L56" s="259"/>
      <c r="M56" s="259"/>
      <c r="N56" s="259"/>
      <c r="O56" s="259"/>
      <c r="P56" s="259"/>
      <c r="Q56" s="77"/>
      <c r="R56" s="258"/>
      <c r="S56" s="259"/>
      <c r="T56" s="259"/>
      <c r="U56" s="259"/>
      <c r="V56" s="259"/>
      <c r="W56" s="259"/>
      <c r="X56" s="77"/>
      <c r="Y56" s="258"/>
      <c r="Z56" s="259"/>
      <c r="AA56" s="259"/>
      <c r="AB56" s="259"/>
      <c r="AC56" s="259"/>
      <c r="AD56" s="259"/>
    </row>
    <row r="57" spans="1:31" x14ac:dyDescent="0.25">
      <c r="A57" s="226"/>
      <c r="B57" s="265"/>
      <c r="C57" s="19" t="s">
        <v>46</v>
      </c>
      <c r="D57" s="258" t="s">
        <v>78</v>
      </c>
      <c r="E57" s="259"/>
      <c r="F57" s="259"/>
      <c r="G57" s="259"/>
      <c r="H57" s="259"/>
      <c r="I57" s="259"/>
      <c r="J57" s="76"/>
      <c r="K57" s="258"/>
      <c r="L57" s="259"/>
      <c r="M57" s="259"/>
      <c r="N57" s="259"/>
      <c r="O57" s="259"/>
      <c r="P57" s="259"/>
      <c r="Q57" s="77"/>
      <c r="R57" s="258"/>
      <c r="S57" s="259"/>
      <c r="T57" s="259"/>
      <c r="U57" s="259"/>
      <c r="V57" s="259"/>
      <c r="W57" s="259"/>
      <c r="X57" s="77"/>
      <c r="Y57" s="258"/>
      <c r="Z57" s="259"/>
      <c r="AA57" s="259"/>
      <c r="AB57" s="259"/>
      <c r="AC57" s="259"/>
      <c r="AD57" s="259"/>
    </row>
    <row r="58" spans="1:31" x14ac:dyDescent="0.25">
      <c r="A58" s="226"/>
      <c r="B58" s="265"/>
      <c r="C58" s="17" t="s">
        <v>47</v>
      </c>
      <c r="D58" s="161">
        <v>638</v>
      </c>
      <c r="E58" s="182"/>
      <c r="F58" s="182"/>
      <c r="G58" s="182"/>
      <c r="H58" s="182"/>
      <c r="I58" s="182"/>
      <c r="J58" s="76"/>
      <c r="K58" s="161">
        <v>305</v>
      </c>
      <c r="L58" s="182"/>
      <c r="M58" s="182"/>
      <c r="N58" s="182"/>
      <c r="O58" s="182"/>
      <c r="P58" s="182"/>
      <c r="Q58" s="77"/>
      <c r="R58" s="161">
        <v>313</v>
      </c>
      <c r="S58" s="182"/>
      <c r="T58" s="182"/>
      <c r="U58" s="182"/>
      <c r="V58" s="182"/>
      <c r="W58" s="182"/>
      <c r="X58" s="77"/>
      <c r="Y58" s="161">
        <v>348</v>
      </c>
      <c r="Z58" s="182"/>
      <c r="AA58" s="182"/>
      <c r="AB58" s="182"/>
      <c r="AC58" s="182"/>
      <c r="AD58" s="182"/>
    </row>
    <row r="59" spans="1:31" ht="15" customHeight="1" x14ac:dyDescent="0.25">
      <c r="A59" s="226"/>
      <c r="B59" s="265"/>
      <c r="C59" s="262" t="s">
        <v>72</v>
      </c>
      <c r="D59" s="258">
        <v>170</v>
      </c>
      <c r="E59" s="259"/>
      <c r="F59" s="259"/>
      <c r="G59" s="259"/>
      <c r="H59" s="259"/>
      <c r="I59" s="259"/>
      <c r="J59" s="107"/>
      <c r="K59" s="258">
        <v>170</v>
      </c>
      <c r="L59" s="259"/>
      <c r="M59" s="259"/>
      <c r="N59" s="259"/>
      <c r="O59" s="259"/>
      <c r="P59" s="259"/>
      <c r="Q59" s="108"/>
      <c r="R59" s="258">
        <v>170</v>
      </c>
      <c r="S59" s="259"/>
      <c r="T59" s="259"/>
      <c r="U59" s="259"/>
      <c r="V59" s="259"/>
      <c r="W59" s="259"/>
      <c r="X59" s="108"/>
      <c r="Y59" s="258">
        <v>170</v>
      </c>
      <c r="Z59" s="259"/>
      <c r="AA59" s="259"/>
      <c r="AB59" s="259"/>
      <c r="AC59" s="259"/>
      <c r="AD59" s="259"/>
      <c r="AE59" s="39"/>
    </row>
    <row r="60" spans="1:31" ht="15.75" thickBot="1" x14ac:dyDescent="0.3">
      <c r="A60" s="227"/>
      <c r="B60" s="266"/>
      <c r="C60" s="263"/>
      <c r="D60" s="260"/>
      <c r="E60" s="261"/>
      <c r="F60" s="261"/>
      <c r="G60" s="261"/>
      <c r="H60" s="261"/>
      <c r="I60" s="261"/>
      <c r="J60" s="107"/>
      <c r="K60" s="260"/>
      <c r="L60" s="261"/>
      <c r="M60" s="261"/>
      <c r="N60" s="261"/>
      <c r="O60" s="261"/>
      <c r="P60" s="261"/>
      <c r="Q60" s="108"/>
      <c r="R60" s="260"/>
      <c r="S60" s="261"/>
      <c r="T60" s="261"/>
      <c r="U60" s="261"/>
      <c r="V60" s="261"/>
      <c r="W60" s="261"/>
      <c r="X60" s="108"/>
      <c r="Y60" s="260"/>
      <c r="Z60" s="261"/>
      <c r="AA60" s="261"/>
      <c r="AB60" s="261"/>
      <c r="AC60" s="261"/>
      <c r="AD60" s="261"/>
      <c r="AE60" s="39"/>
    </row>
  </sheetData>
  <mergeCells count="289">
    <mergeCell ref="K40:N40"/>
    <mergeCell ref="R40:U40"/>
    <mergeCell ref="Y46:AD46"/>
    <mergeCell ref="Z47:AA47"/>
    <mergeCell ref="AB47:AD47"/>
    <mergeCell ref="Z48:AA48"/>
    <mergeCell ref="AB48:AD48"/>
    <mergeCell ref="AC36:AD36"/>
    <mergeCell ref="AA37:AB37"/>
    <mergeCell ref="AC37:AD37"/>
    <mergeCell ref="AA38:AB38"/>
    <mergeCell ref="AC38:AD38"/>
    <mergeCell ref="AA39:AB39"/>
    <mergeCell ref="AC39:AD39"/>
    <mergeCell ref="AC40:AD40"/>
    <mergeCell ref="Y40:AB40"/>
    <mergeCell ref="U47:W47"/>
    <mergeCell ref="S48:T48"/>
    <mergeCell ref="U48:W48"/>
    <mergeCell ref="O40:P40"/>
    <mergeCell ref="Z49:AA49"/>
    <mergeCell ref="AB49:AD49"/>
    <mergeCell ref="Y50:AD50"/>
    <mergeCell ref="Y41:AD41"/>
    <mergeCell ref="Y42:Z42"/>
    <mergeCell ref="AA42:AD42"/>
    <mergeCell ref="Y43:Z43"/>
    <mergeCell ref="AA43:AD43"/>
    <mergeCell ref="Y44:Z44"/>
    <mergeCell ref="AA44:AD44"/>
    <mergeCell ref="Y45:Z45"/>
    <mergeCell ref="AA45:AD45"/>
    <mergeCell ref="R54:W54"/>
    <mergeCell ref="R55:W55"/>
    <mergeCell ref="R56:W56"/>
    <mergeCell ref="R57:W57"/>
    <mergeCell ref="R58:W58"/>
    <mergeCell ref="Y20:AD20"/>
    <mergeCell ref="AA21:AB21"/>
    <mergeCell ref="AA22:AB22"/>
    <mergeCell ref="AA23:AB23"/>
    <mergeCell ref="AA24:AB24"/>
    <mergeCell ref="AA25:AB25"/>
    <mergeCell ref="AA26:AB26"/>
    <mergeCell ref="AA27:AB27"/>
    <mergeCell ref="AA29:AB29"/>
    <mergeCell ref="AA30:AB30"/>
    <mergeCell ref="AA31:AB31"/>
    <mergeCell ref="Y32:AD32"/>
    <mergeCell ref="AA33:AB33"/>
    <mergeCell ref="AC33:AD33"/>
    <mergeCell ref="AA34:AB34"/>
    <mergeCell ref="AC34:AD34"/>
    <mergeCell ref="AA35:AB35"/>
    <mergeCell ref="AC35:AD35"/>
    <mergeCell ref="AA36:AB36"/>
    <mergeCell ref="R51:W51"/>
    <mergeCell ref="R52:W52"/>
    <mergeCell ref="R53:W53"/>
    <mergeCell ref="T37:U37"/>
    <mergeCell ref="V37:W37"/>
    <mergeCell ref="T38:U38"/>
    <mergeCell ref="V38:W38"/>
    <mergeCell ref="T39:U39"/>
    <mergeCell ref="V39:W39"/>
    <mergeCell ref="V40:W40"/>
    <mergeCell ref="R41:W41"/>
    <mergeCell ref="R42:S42"/>
    <mergeCell ref="T42:W42"/>
    <mergeCell ref="R43:S43"/>
    <mergeCell ref="T43:W43"/>
    <mergeCell ref="R44:S44"/>
    <mergeCell ref="T44:W44"/>
    <mergeCell ref="V33:W33"/>
    <mergeCell ref="T34:U34"/>
    <mergeCell ref="V34:W34"/>
    <mergeCell ref="T35:U35"/>
    <mergeCell ref="V35:W35"/>
    <mergeCell ref="T36:U36"/>
    <mergeCell ref="V36:W36"/>
    <mergeCell ref="R16:W16"/>
    <mergeCell ref="R17:W17"/>
    <mergeCell ref="R18:W18"/>
    <mergeCell ref="R19:W19"/>
    <mergeCell ref="R20:W20"/>
    <mergeCell ref="T21:U21"/>
    <mergeCell ref="T22:U22"/>
    <mergeCell ref="T23:U23"/>
    <mergeCell ref="T24:U24"/>
    <mergeCell ref="R32:W32"/>
    <mergeCell ref="T33:U33"/>
    <mergeCell ref="D55:I55"/>
    <mergeCell ref="D54:I54"/>
    <mergeCell ref="D53:I53"/>
    <mergeCell ref="D52:I52"/>
    <mergeCell ref="D51:I51"/>
    <mergeCell ref="Y54:AD54"/>
    <mergeCell ref="Y57:AD57"/>
    <mergeCell ref="K32:P32"/>
    <mergeCell ref="M35:N35"/>
    <mergeCell ref="O35:P35"/>
    <mergeCell ref="M38:N38"/>
    <mergeCell ref="O38:P38"/>
    <mergeCell ref="M39:N39"/>
    <mergeCell ref="O39:P39"/>
    <mergeCell ref="K41:P41"/>
    <mergeCell ref="K46:P46"/>
    <mergeCell ref="M33:N33"/>
    <mergeCell ref="O33:P33"/>
    <mergeCell ref="M34:N34"/>
    <mergeCell ref="O34:P34"/>
    <mergeCell ref="M36:N36"/>
    <mergeCell ref="O36:P36"/>
    <mergeCell ref="M37:N37"/>
    <mergeCell ref="O37:P37"/>
    <mergeCell ref="R59:W60"/>
    <mergeCell ref="Y52:AD52"/>
    <mergeCell ref="C59:C60"/>
    <mergeCell ref="Y59:AD60"/>
    <mergeCell ref="Y58:AD58"/>
    <mergeCell ref="D59:I60"/>
    <mergeCell ref="D58:I58"/>
    <mergeCell ref="A51:A60"/>
    <mergeCell ref="B51:B60"/>
    <mergeCell ref="Y51:AD51"/>
    <mergeCell ref="Y53:AD53"/>
    <mergeCell ref="Y55:AD55"/>
    <mergeCell ref="K51:P51"/>
    <mergeCell ref="K52:P52"/>
    <mergeCell ref="K53:P53"/>
    <mergeCell ref="K54:P54"/>
    <mergeCell ref="K55:P55"/>
    <mergeCell ref="K56:P56"/>
    <mergeCell ref="K57:P57"/>
    <mergeCell ref="K58:P58"/>
    <mergeCell ref="K59:P60"/>
    <mergeCell ref="Y56:AD56"/>
    <mergeCell ref="D57:I57"/>
    <mergeCell ref="D56:I56"/>
    <mergeCell ref="A47:A49"/>
    <mergeCell ref="B47:B49"/>
    <mergeCell ref="E47:F47"/>
    <mergeCell ref="E49:F49"/>
    <mergeCell ref="L47:M47"/>
    <mergeCell ref="N47:P47"/>
    <mergeCell ref="L48:M48"/>
    <mergeCell ref="N48:P48"/>
    <mergeCell ref="A42:A45"/>
    <mergeCell ref="B42:B45"/>
    <mergeCell ref="D42:E42"/>
    <mergeCell ref="D43:E43"/>
    <mergeCell ref="K42:L42"/>
    <mergeCell ref="M42:P42"/>
    <mergeCell ref="K43:L43"/>
    <mergeCell ref="M43:P43"/>
    <mergeCell ref="K44:L44"/>
    <mergeCell ref="M44:P44"/>
    <mergeCell ref="F42:I42"/>
    <mergeCell ref="D50:I50"/>
    <mergeCell ref="D46:I46"/>
    <mergeCell ref="G47:I47"/>
    <mergeCell ref="G48:I48"/>
    <mergeCell ref="G49:I49"/>
    <mergeCell ref="K50:P50"/>
    <mergeCell ref="R45:S45"/>
    <mergeCell ref="T45:W45"/>
    <mergeCell ref="R46:W46"/>
    <mergeCell ref="S47:T47"/>
    <mergeCell ref="K45:L45"/>
    <mergeCell ref="M45:P45"/>
    <mergeCell ref="F45:I45"/>
    <mergeCell ref="L49:M49"/>
    <mergeCell ref="N49:P49"/>
    <mergeCell ref="E48:F48"/>
    <mergeCell ref="D45:E45"/>
    <mergeCell ref="S49:T49"/>
    <mergeCell ref="U49:W49"/>
    <mergeCell ref="R50:W50"/>
    <mergeCell ref="A33:A40"/>
    <mergeCell ref="B33:B40"/>
    <mergeCell ref="F34:G34"/>
    <mergeCell ref="F37:G37"/>
    <mergeCell ref="H33:I33"/>
    <mergeCell ref="H34:I34"/>
    <mergeCell ref="H36:I36"/>
    <mergeCell ref="H37:I37"/>
    <mergeCell ref="H40:I40"/>
    <mergeCell ref="D40:G40"/>
    <mergeCell ref="F33:G33"/>
    <mergeCell ref="M27:N27"/>
    <mergeCell ref="M28:N28"/>
    <mergeCell ref="M29:N29"/>
    <mergeCell ref="T25:U25"/>
    <mergeCell ref="T26:U26"/>
    <mergeCell ref="T27:U27"/>
    <mergeCell ref="T28:U28"/>
    <mergeCell ref="T29:U29"/>
    <mergeCell ref="T30:U30"/>
    <mergeCell ref="A21:A31"/>
    <mergeCell ref="B21:B31"/>
    <mergeCell ref="F22:G22"/>
    <mergeCell ref="F23:G23"/>
    <mergeCell ref="A17:A19"/>
    <mergeCell ref="B17:B19"/>
    <mergeCell ref="Y17:AD17"/>
    <mergeCell ref="Y19:AD19"/>
    <mergeCell ref="Y18:AD18"/>
    <mergeCell ref="M21:N21"/>
    <mergeCell ref="M22:N22"/>
    <mergeCell ref="M23:N23"/>
    <mergeCell ref="M24:N24"/>
    <mergeCell ref="M25:N25"/>
    <mergeCell ref="M26:N26"/>
    <mergeCell ref="K17:P17"/>
    <mergeCell ref="F29:G29"/>
    <mergeCell ref="F21:G21"/>
    <mergeCell ref="D17:I17"/>
    <mergeCell ref="D18:I18"/>
    <mergeCell ref="D19:I19"/>
    <mergeCell ref="K18:P18"/>
    <mergeCell ref="K19:P19"/>
    <mergeCell ref="F24:G24"/>
    <mergeCell ref="A13:A15"/>
    <mergeCell ref="B13:B15"/>
    <mergeCell ref="Y13:AD13"/>
    <mergeCell ref="Y15:AD15"/>
    <mergeCell ref="Y14:AD14"/>
    <mergeCell ref="Y10:AD10"/>
    <mergeCell ref="K12:P12"/>
    <mergeCell ref="Y12:AD12"/>
    <mergeCell ref="D8:I8"/>
    <mergeCell ref="D9:I9"/>
    <mergeCell ref="R8:W8"/>
    <mergeCell ref="R9:W9"/>
    <mergeCell ref="R10:W10"/>
    <mergeCell ref="R12:W12"/>
    <mergeCell ref="R13:W13"/>
    <mergeCell ref="R14:W14"/>
    <mergeCell ref="A8:A11"/>
    <mergeCell ref="B8:B11"/>
    <mergeCell ref="K11:P11"/>
    <mergeCell ref="R11:W11"/>
    <mergeCell ref="Y11:AD11"/>
    <mergeCell ref="K20:P20"/>
    <mergeCell ref="D41:I41"/>
    <mergeCell ref="D32:I32"/>
    <mergeCell ref="D20:I20"/>
    <mergeCell ref="D12:I12"/>
    <mergeCell ref="K16:P16"/>
    <mergeCell ref="Y7:AD7"/>
    <mergeCell ref="Y9:AD9"/>
    <mergeCell ref="Y16:AD16"/>
    <mergeCell ref="R7:W7"/>
    <mergeCell ref="R15:W15"/>
    <mergeCell ref="K7:P7"/>
    <mergeCell ref="K8:P8"/>
    <mergeCell ref="K9:P9"/>
    <mergeCell ref="K10:P10"/>
    <mergeCell ref="K13:P13"/>
    <mergeCell ref="K14:P14"/>
    <mergeCell ref="K15:P15"/>
    <mergeCell ref="Y8:AD8"/>
    <mergeCell ref="M30:N30"/>
    <mergeCell ref="M31:N31"/>
    <mergeCell ref="T31:U31"/>
    <mergeCell ref="F25:G25"/>
    <mergeCell ref="AA28:AB28"/>
    <mergeCell ref="D6:I6"/>
    <mergeCell ref="F35:G35"/>
    <mergeCell ref="H35:I35"/>
    <mergeCell ref="F43:I43"/>
    <mergeCell ref="F44:I44"/>
    <mergeCell ref="D10:I10"/>
    <mergeCell ref="D13:I13"/>
    <mergeCell ref="D14:I14"/>
    <mergeCell ref="D15:I15"/>
    <mergeCell ref="D16:I16"/>
    <mergeCell ref="F31:G31"/>
    <mergeCell ref="F30:G30"/>
    <mergeCell ref="F36:G36"/>
    <mergeCell ref="D44:E44"/>
    <mergeCell ref="D11:I11"/>
    <mergeCell ref="D7:I7"/>
    <mergeCell ref="F39:G39"/>
    <mergeCell ref="H39:I39"/>
    <mergeCell ref="H38:I38"/>
    <mergeCell ref="F38:G38"/>
    <mergeCell ref="F26:G26"/>
    <mergeCell ref="F27:G27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K10" zoomScale="60" zoomScaleNormal="60" workbookViewId="0">
      <selection activeCell="U44" sqref="U44:W44"/>
    </sheetView>
  </sheetViews>
  <sheetFormatPr baseColWidth="10" defaultColWidth="11.42578125" defaultRowHeight="15" x14ac:dyDescent="0.25"/>
  <cols>
    <col min="1" max="1" width="11.42578125" style="5"/>
    <col min="2" max="2" width="44.140625" style="5" customWidth="1"/>
    <col min="3" max="3" width="51.5703125" style="5" bestFit="1" customWidth="1"/>
    <col min="4" max="4" width="11.42578125" style="5"/>
    <col min="5" max="5" width="35" style="5" bestFit="1" customWidth="1"/>
    <col min="6" max="7" width="11.42578125" style="5"/>
    <col min="8" max="8" width="25.85546875" style="5" bestFit="1" customWidth="1"/>
    <col min="9" max="9" width="28.140625" style="5" bestFit="1" customWidth="1"/>
    <col min="10" max="10" width="1.7109375" style="23" customWidth="1"/>
    <col min="11" max="11" width="8.5703125" style="5" bestFit="1" customWidth="1"/>
    <col min="12" max="12" width="35" style="5" bestFit="1" customWidth="1"/>
    <col min="13" max="14" width="9.28515625" style="5" customWidth="1"/>
    <col min="15" max="15" width="25.85546875" style="5" bestFit="1" customWidth="1"/>
    <col min="16" max="16" width="28.140625" style="5" bestFit="1" customWidth="1"/>
    <col min="17" max="17" width="1.7109375" style="23" customWidth="1"/>
    <col min="18" max="19" width="11.42578125" style="5"/>
    <col min="20" max="20" width="34.28515625" style="5" bestFit="1" customWidth="1"/>
    <col min="21" max="21" width="11.42578125" style="5"/>
    <col min="22" max="22" width="25.85546875" style="5" bestFit="1" customWidth="1"/>
    <col min="23" max="23" width="28.140625" style="5" bestFit="1" customWidth="1"/>
    <col min="24" max="24" width="1.7109375" style="8" customWidth="1"/>
    <col min="25" max="25" width="11.42578125" style="5"/>
    <col min="26" max="26" width="34.28515625" style="5" bestFit="1" customWidth="1"/>
    <col min="27" max="27" width="34.28515625" style="5" customWidth="1"/>
    <col min="28" max="28" width="11.42578125" style="5"/>
    <col min="29" max="29" width="25.85546875" style="5" bestFit="1" customWidth="1"/>
    <col min="30" max="30" width="28.140625" style="5" bestFit="1" customWidth="1"/>
    <col min="31" max="31" width="1.7109375" style="8" customWidth="1"/>
    <col min="32" max="16384" width="11.42578125" style="5"/>
  </cols>
  <sheetData>
    <row r="1" spans="1:31" ht="15.75" thickBot="1" x14ac:dyDescent="0.3"/>
    <row r="2" spans="1:31" ht="15.75" thickBot="1" x14ac:dyDescent="0.3">
      <c r="A2" s="21"/>
      <c r="B2" s="22" t="s">
        <v>40</v>
      </c>
      <c r="C2" s="22" t="s">
        <v>41</v>
      </c>
      <c r="D2" s="271" t="s">
        <v>48</v>
      </c>
      <c r="E2" s="184"/>
      <c r="F2" s="184"/>
      <c r="G2" s="184"/>
      <c r="H2" s="184"/>
      <c r="I2" s="184"/>
      <c r="J2" s="59"/>
      <c r="K2" s="183" t="s">
        <v>49</v>
      </c>
      <c r="L2" s="184"/>
      <c r="M2" s="184"/>
      <c r="N2" s="184"/>
      <c r="O2" s="184"/>
      <c r="P2" s="184"/>
      <c r="Q2" s="59"/>
      <c r="R2" s="183" t="s">
        <v>50</v>
      </c>
      <c r="S2" s="184"/>
      <c r="T2" s="184"/>
      <c r="U2" s="184"/>
      <c r="V2" s="184"/>
      <c r="W2" s="184"/>
      <c r="X2" s="60"/>
      <c r="Y2" s="183" t="s">
        <v>51</v>
      </c>
      <c r="Z2" s="184"/>
      <c r="AA2" s="184"/>
      <c r="AB2" s="184"/>
      <c r="AC2" s="184"/>
      <c r="AD2" s="184"/>
      <c r="AE2" s="60"/>
    </row>
    <row r="3" spans="1:31" ht="15" customHeight="1" x14ac:dyDescent="0.25">
      <c r="A3" s="194" t="s">
        <v>39</v>
      </c>
      <c r="B3" s="197" t="s">
        <v>38</v>
      </c>
      <c r="C3" s="43" t="s">
        <v>2</v>
      </c>
      <c r="D3" s="187" t="s">
        <v>178</v>
      </c>
      <c r="E3" s="188"/>
      <c r="F3" s="188"/>
      <c r="G3" s="188"/>
      <c r="H3" s="188"/>
      <c r="I3" s="188"/>
      <c r="J3" s="24"/>
      <c r="K3" s="187" t="s">
        <v>144</v>
      </c>
      <c r="L3" s="188"/>
      <c r="M3" s="188"/>
      <c r="N3" s="188"/>
      <c r="O3" s="188"/>
      <c r="P3" s="188"/>
      <c r="Q3" s="24"/>
      <c r="R3" s="187" t="s">
        <v>162</v>
      </c>
      <c r="S3" s="188"/>
      <c r="T3" s="188"/>
      <c r="U3" s="188"/>
      <c r="V3" s="188"/>
      <c r="W3" s="188"/>
      <c r="Y3" s="187" t="s">
        <v>144</v>
      </c>
      <c r="Z3" s="188"/>
      <c r="AA3" s="188"/>
      <c r="AB3" s="188"/>
      <c r="AC3" s="188"/>
      <c r="AD3" s="188"/>
    </row>
    <row r="4" spans="1:31" x14ac:dyDescent="0.25">
      <c r="A4" s="195"/>
      <c r="B4" s="198"/>
      <c r="C4" s="44" t="s">
        <v>3</v>
      </c>
      <c r="D4" s="270" t="s">
        <v>145</v>
      </c>
      <c r="E4" s="193"/>
      <c r="F4" s="193"/>
      <c r="G4" s="193"/>
      <c r="H4" s="193"/>
      <c r="I4" s="193"/>
      <c r="J4" s="72"/>
      <c r="K4" s="270" t="s">
        <v>145</v>
      </c>
      <c r="L4" s="193"/>
      <c r="M4" s="193"/>
      <c r="N4" s="193"/>
      <c r="O4" s="193"/>
      <c r="P4" s="193"/>
      <c r="Q4" s="72"/>
      <c r="R4" s="270" t="s">
        <v>145</v>
      </c>
      <c r="S4" s="193"/>
      <c r="T4" s="193"/>
      <c r="U4" s="193"/>
      <c r="V4" s="193"/>
      <c r="W4" s="193"/>
      <c r="X4" s="76"/>
      <c r="Y4" s="270" t="s">
        <v>145</v>
      </c>
      <c r="Z4" s="193"/>
      <c r="AA4" s="193"/>
      <c r="AB4" s="193"/>
      <c r="AC4" s="193"/>
      <c r="AD4" s="193"/>
    </row>
    <row r="5" spans="1:31" x14ac:dyDescent="0.25">
      <c r="A5" s="195"/>
      <c r="B5" s="198"/>
      <c r="C5" s="61" t="s">
        <v>108</v>
      </c>
      <c r="D5" s="164" t="s">
        <v>179</v>
      </c>
      <c r="E5" s="164"/>
      <c r="F5" s="164"/>
      <c r="G5" s="164"/>
      <c r="H5" s="164"/>
      <c r="I5" s="164"/>
      <c r="J5" s="71"/>
      <c r="K5" s="164" t="s">
        <v>146</v>
      </c>
      <c r="L5" s="164"/>
      <c r="M5" s="164"/>
      <c r="N5" s="164"/>
      <c r="O5" s="164"/>
      <c r="P5" s="164"/>
      <c r="Q5" s="73"/>
      <c r="R5" s="164" t="s">
        <v>146</v>
      </c>
      <c r="S5" s="164"/>
      <c r="T5" s="164"/>
      <c r="U5" s="164"/>
      <c r="V5" s="164"/>
      <c r="W5" s="164"/>
      <c r="X5" s="73"/>
      <c r="Y5" s="164" t="s">
        <v>146</v>
      </c>
      <c r="Z5" s="164"/>
      <c r="AA5" s="164"/>
      <c r="AB5" s="164"/>
      <c r="AC5" s="164"/>
      <c r="AD5" s="164"/>
      <c r="AE5" s="63"/>
    </row>
    <row r="6" spans="1:31" ht="15.75" thickBot="1" x14ac:dyDescent="0.3">
      <c r="A6" s="196"/>
      <c r="B6" s="199"/>
      <c r="C6" s="53" t="s">
        <v>68</v>
      </c>
      <c r="D6" s="269"/>
      <c r="E6" s="201"/>
      <c r="F6" s="201"/>
      <c r="G6" s="201"/>
      <c r="H6" s="201"/>
      <c r="I6" s="202"/>
      <c r="J6" s="72"/>
      <c r="K6" s="269"/>
      <c r="L6" s="201"/>
      <c r="M6" s="201"/>
      <c r="N6" s="201"/>
      <c r="O6" s="201"/>
      <c r="P6" s="202"/>
      <c r="Q6" s="72"/>
      <c r="R6" s="269"/>
      <c r="S6" s="201"/>
      <c r="T6" s="201"/>
      <c r="U6" s="201"/>
      <c r="V6" s="201"/>
      <c r="W6" s="202"/>
      <c r="X6" s="109"/>
      <c r="Y6" s="269"/>
      <c r="Z6" s="201"/>
      <c r="AA6" s="201"/>
      <c r="AB6" s="201"/>
      <c r="AC6" s="201"/>
      <c r="AD6" s="202"/>
      <c r="AE6" s="35"/>
    </row>
    <row r="7" spans="1:31" ht="15.75" thickBot="1" x14ac:dyDescent="0.3">
      <c r="A7" s="11"/>
      <c r="B7" s="13"/>
      <c r="C7" s="52"/>
      <c r="D7" s="272"/>
      <c r="E7" s="273"/>
      <c r="F7" s="273"/>
      <c r="G7" s="273"/>
      <c r="H7" s="273"/>
      <c r="I7" s="273"/>
      <c r="J7" s="77"/>
      <c r="K7" s="272"/>
      <c r="L7" s="273"/>
      <c r="M7" s="273"/>
      <c r="N7" s="273"/>
      <c r="O7" s="273"/>
      <c r="P7" s="273"/>
      <c r="Q7" s="77"/>
      <c r="R7" s="272"/>
      <c r="S7" s="273"/>
      <c r="T7" s="273"/>
      <c r="U7" s="273"/>
      <c r="V7" s="273"/>
      <c r="W7" s="273"/>
      <c r="X7" s="76"/>
      <c r="Y7" s="272"/>
      <c r="Z7" s="273"/>
      <c r="AA7" s="273"/>
      <c r="AB7" s="273"/>
      <c r="AC7" s="273"/>
      <c r="AD7" s="273"/>
    </row>
    <row r="8" spans="1:31" ht="15" customHeight="1" x14ac:dyDescent="0.25">
      <c r="A8" s="191" t="s">
        <v>37</v>
      </c>
      <c r="B8" s="192" t="s">
        <v>101</v>
      </c>
      <c r="C8" s="50" t="s">
        <v>5</v>
      </c>
      <c r="D8" s="165" t="s">
        <v>270</v>
      </c>
      <c r="E8" s="166"/>
      <c r="F8" s="166"/>
      <c r="G8" s="166"/>
      <c r="H8" s="166"/>
      <c r="I8" s="166"/>
      <c r="J8" s="77"/>
      <c r="K8" s="165" t="s">
        <v>208</v>
      </c>
      <c r="L8" s="166"/>
      <c r="M8" s="166"/>
      <c r="N8" s="166"/>
      <c r="O8" s="166"/>
      <c r="P8" s="166"/>
      <c r="Q8" s="77"/>
      <c r="R8" s="165" t="s">
        <v>271</v>
      </c>
      <c r="S8" s="166"/>
      <c r="T8" s="166"/>
      <c r="U8" s="166"/>
      <c r="V8" s="166"/>
      <c r="W8" s="166"/>
      <c r="X8" s="76"/>
      <c r="Y8" s="165" t="s">
        <v>208</v>
      </c>
      <c r="Z8" s="166"/>
      <c r="AA8" s="166"/>
      <c r="AB8" s="166"/>
      <c r="AC8" s="166"/>
      <c r="AD8" s="166"/>
    </row>
    <row r="9" spans="1:31" x14ac:dyDescent="0.25">
      <c r="A9" s="191"/>
      <c r="B9" s="192"/>
      <c r="C9" s="14" t="s">
        <v>6</v>
      </c>
      <c r="D9" s="167" t="s">
        <v>272</v>
      </c>
      <c r="E9" s="168"/>
      <c r="F9" s="168"/>
      <c r="G9" s="168"/>
      <c r="H9" s="168"/>
      <c r="I9" s="168"/>
      <c r="J9" s="77"/>
      <c r="K9" s="167" t="s">
        <v>273</v>
      </c>
      <c r="L9" s="168"/>
      <c r="M9" s="168"/>
      <c r="N9" s="168"/>
      <c r="O9" s="168"/>
      <c r="P9" s="168"/>
      <c r="Q9" s="77"/>
      <c r="R9" s="167" t="s">
        <v>274</v>
      </c>
      <c r="S9" s="168"/>
      <c r="T9" s="168"/>
      <c r="U9" s="168"/>
      <c r="V9" s="168"/>
      <c r="W9" s="168"/>
      <c r="X9" s="76"/>
      <c r="Y9" s="167" t="s">
        <v>275</v>
      </c>
      <c r="Z9" s="168"/>
      <c r="AA9" s="168"/>
      <c r="AB9" s="168"/>
      <c r="AC9" s="168"/>
      <c r="AD9" s="168"/>
    </row>
    <row r="10" spans="1:31" ht="15.75" thickBot="1" x14ac:dyDescent="0.3">
      <c r="A10" s="191"/>
      <c r="B10" s="192"/>
      <c r="C10" s="51" t="s">
        <v>7</v>
      </c>
      <c r="D10" s="169"/>
      <c r="E10" s="170"/>
      <c r="F10" s="170"/>
      <c r="G10" s="170"/>
      <c r="H10" s="170"/>
      <c r="I10" s="170"/>
      <c r="J10" s="77"/>
      <c r="K10" s="169"/>
      <c r="L10" s="170"/>
      <c r="M10" s="170"/>
      <c r="N10" s="170"/>
      <c r="O10" s="170"/>
      <c r="P10" s="170"/>
      <c r="Q10" s="77"/>
      <c r="R10" s="169"/>
      <c r="S10" s="170"/>
      <c r="T10" s="170"/>
      <c r="U10" s="170"/>
      <c r="V10" s="170"/>
      <c r="W10" s="170"/>
      <c r="X10" s="76"/>
      <c r="Y10" s="169"/>
      <c r="Z10" s="170"/>
      <c r="AA10" s="170"/>
      <c r="AB10" s="170"/>
      <c r="AC10" s="170"/>
      <c r="AD10" s="170"/>
    </row>
    <row r="11" spans="1:31" ht="15.75" thickBot="1" x14ac:dyDescent="0.3">
      <c r="A11" s="12"/>
      <c r="B11" s="15"/>
      <c r="C11" s="15"/>
      <c r="D11" s="171"/>
      <c r="E11" s="172"/>
      <c r="F11" s="172"/>
      <c r="G11" s="172"/>
      <c r="H11" s="172"/>
      <c r="I11" s="172"/>
      <c r="J11" s="77"/>
      <c r="K11" s="171"/>
      <c r="L11" s="172"/>
      <c r="M11" s="172"/>
      <c r="N11" s="172"/>
      <c r="O11" s="172"/>
      <c r="P11" s="172"/>
      <c r="Q11" s="77"/>
      <c r="R11" s="171"/>
      <c r="S11" s="172"/>
      <c r="T11" s="172"/>
      <c r="U11" s="172"/>
      <c r="V11" s="172"/>
      <c r="W11" s="172"/>
      <c r="X11" s="76"/>
      <c r="Y11" s="171"/>
      <c r="Z11" s="172"/>
      <c r="AA11" s="172"/>
      <c r="AB11" s="172"/>
      <c r="AC11" s="172"/>
      <c r="AD11" s="172"/>
    </row>
    <row r="12" spans="1:31" ht="15" customHeight="1" x14ac:dyDescent="0.25">
      <c r="A12" s="210" t="s">
        <v>8</v>
      </c>
      <c r="B12" s="213" t="s">
        <v>102</v>
      </c>
      <c r="C12" s="48" t="s">
        <v>69</v>
      </c>
      <c r="D12" s="216" t="s">
        <v>180</v>
      </c>
      <c r="E12" s="217"/>
      <c r="F12" s="217"/>
      <c r="G12" s="217"/>
      <c r="H12" s="217"/>
      <c r="I12" s="217"/>
      <c r="J12" s="77"/>
      <c r="K12" s="216" t="s">
        <v>187</v>
      </c>
      <c r="L12" s="217"/>
      <c r="M12" s="217"/>
      <c r="N12" s="217"/>
      <c r="O12" s="217"/>
      <c r="P12" s="217"/>
      <c r="Q12" s="77"/>
      <c r="R12" s="216" t="s">
        <v>197</v>
      </c>
      <c r="S12" s="217"/>
      <c r="T12" s="217"/>
      <c r="U12" s="217"/>
      <c r="V12" s="217"/>
      <c r="W12" s="217"/>
      <c r="X12" s="76"/>
      <c r="Y12" s="216" t="s">
        <v>148</v>
      </c>
      <c r="Z12" s="217"/>
      <c r="AA12" s="217"/>
      <c r="AB12" s="217"/>
      <c r="AC12" s="217"/>
      <c r="AD12" s="217"/>
    </row>
    <row r="13" spans="1:31" x14ac:dyDescent="0.25">
      <c r="A13" s="211"/>
      <c r="B13" s="214"/>
      <c r="C13" s="16" t="s">
        <v>79</v>
      </c>
      <c r="D13" s="220">
        <v>60</v>
      </c>
      <c r="E13" s="163"/>
      <c r="F13" s="163"/>
      <c r="G13" s="163"/>
      <c r="H13" s="163"/>
      <c r="I13" s="163"/>
      <c r="J13" s="77"/>
      <c r="K13" s="220">
        <v>300</v>
      </c>
      <c r="L13" s="163"/>
      <c r="M13" s="163"/>
      <c r="N13" s="163"/>
      <c r="O13" s="163"/>
      <c r="P13" s="163"/>
      <c r="Q13" s="77"/>
      <c r="R13" s="220">
        <v>4.2</v>
      </c>
      <c r="S13" s="163"/>
      <c r="T13" s="163"/>
      <c r="U13" s="163"/>
      <c r="V13" s="163"/>
      <c r="W13" s="163"/>
      <c r="X13" s="76"/>
      <c r="Y13" s="220">
        <v>300</v>
      </c>
      <c r="Z13" s="163"/>
      <c r="AA13" s="163"/>
      <c r="AB13" s="163"/>
      <c r="AC13" s="163"/>
      <c r="AD13" s="163"/>
    </row>
    <row r="14" spans="1:31" ht="15.75" thickBot="1" x14ac:dyDescent="0.3">
      <c r="A14" s="212"/>
      <c r="B14" s="215"/>
      <c r="C14" s="49" t="s">
        <v>10</v>
      </c>
      <c r="D14" s="218" t="s">
        <v>276</v>
      </c>
      <c r="E14" s="219"/>
      <c r="F14" s="219"/>
      <c r="G14" s="219"/>
      <c r="H14" s="219"/>
      <c r="I14" s="219"/>
      <c r="J14" s="77"/>
      <c r="K14" s="218" t="s">
        <v>277</v>
      </c>
      <c r="L14" s="219"/>
      <c r="M14" s="219"/>
      <c r="N14" s="219"/>
      <c r="O14" s="219"/>
      <c r="P14" s="219"/>
      <c r="Q14" s="77"/>
      <c r="R14" s="218" t="s">
        <v>278</v>
      </c>
      <c r="S14" s="219"/>
      <c r="T14" s="219"/>
      <c r="U14" s="219"/>
      <c r="V14" s="219"/>
      <c r="W14" s="219"/>
      <c r="X14" s="76"/>
      <c r="Y14" s="218" t="s">
        <v>279</v>
      </c>
      <c r="Z14" s="219"/>
      <c r="AA14" s="219"/>
      <c r="AB14" s="219"/>
      <c r="AC14" s="219"/>
      <c r="AD14" s="219"/>
    </row>
    <row r="15" spans="1:31" ht="15.75" thickBot="1" x14ac:dyDescent="0.3">
      <c r="A15" s="12"/>
      <c r="B15" s="15"/>
      <c r="C15" s="15"/>
      <c r="D15" s="171"/>
      <c r="E15" s="172"/>
      <c r="F15" s="172"/>
      <c r="G15" s="172"/>
      <c r="H15" s="172"/>
      <c r="I15" s="172"/>
      <c r="J15" s="77"/>
      <c r="K15" s="171"/>
      <c r="L15" s="172"/>
      <c r="M15" s="172"/>
      <c r="N15" s="172"/>
      <c r="O15" s="172"/>
      <c r="P15" s="172"/>
      <c r="Q15" s="77"/>
      <c r="R15" s="171"/>
      <c r="S15" s="172"/>
      <c r="T15" s="172"/>
      <c r="U15" s="172"/>
      <c r="V15" s="172"/>
      <c r="W15" s="172"/>
      <c r="X15" s="76"/>
      <c r="Y15" s="171"/>
      <c r="Z15" s="172"/>
      <c r="AA15" s="172"/>
      <c r="AB15" s="172"/>
      <c r="AC15" s="172"/>
      <c r="AD15" s="172"/>
    </row>
    <row r="16" spans="1:31" ht="15.75" customHeight="1" thickBot="1" x14ac:dyDescent="0.3">
      <c r="A16" s="203" t="s">
        <v>11</v>
      </c>
      <c r="B16" s="206" t="s">
        <v>103</v>
      </c>
      <c r="C16" s="47" t="s">
        <v>95</v>
      </c>
      <c r="D16" s="78" t="s">
        <v>32</v>
      </c>
      <c r="E16" s="80" t="s">
        <v>73</v>
      </c>
      <c r="F16" s="221" t="s">
        <v>20</v>
      </c>
      <c r="G16" s="222"/>
      <c r="H16" s="79" t="s">
        <v>99</v>
      </c>
      <c r="I16" s="79" t="s">
        <v>23</v>
      </c>
      <c r="J16" s="77"/>
      <c r="K16" s="78" t="s">
        <v>32</v>
      </c>
      <c r="L16" s="80" t="s">
        <v>73</v>
      </c>
      <c r="M16" s="221" t="s">
        <v>20</v>
      </c>
      <c r="N16" s="222"/>
      <c r="O16" s="79" t="s">
        <v>99</v>
      </c>
      <c r="P16" s="79" t="s">
        <v>23</v>
      </c>
      <c r="Q16" s="77"/>
      <c r="R16" s="78" t="s">
        <v>32</v>
      </c>
      <c r="S16" s="80" t="s">
        <v>73</v>
      </c>
      <c r="T16" s="221" t="s">
        <v>20</v>
      </c>
      <c r="U16" s="222"/>
      <c r="V16" s="79" t="s">
        <v>99</v>
      </c>
      <c r="W16" s="79" t="s">
        <v>23</v>
      </c>
      <c r="X16" s="76"/>
      <c r="Y16" s="78" t="s">
        <v>32</v>
      </c>
      <c r="Z16" s="80" t="s">
        <v>73</v>
      </c>
      <c r="AA16" s="221" t="s">
        <v>20</v>
      </c>
      <c r="AB16" s="222"/>
      <c r="AC16" s="79" t="s">
        <v>99</v>
      </c>
      <c r="AD16" s="79" t="s">
        <v>23</v>
      </c>
    </row>
    <row r="17" spans="1:30" ht="15" customHeight="1" x14ac:dyDescent="0.25">
      <c r="A17" s="204"/>
      <c r="B17" s="207"/>
      <c r="C17" s="45" t="s">
        <v>12</v>
      </c>
      <c r="D17" s="81"/>
      <c r="E17" s="90"/>
      <c r="F17" s="175"/>
      <c r="G17" s="176"/>
      <c r="H17" s="84"/>
      <c r="I17" s="84"/>
      <c r="J17" s="77"/>
      <c r="K17" s="81" t="s">
        <v>188</v>
      </c>
      <c r="L17" s="90" t="s">
        <v>189</v>
      </c>
      <c r="M17" s="175" t="s">
        <v>114</v>
      </c>
      <c r="N17" s="176"/>
      <c r="O17" s="84" t="s">
        <v>190</v>
      </c>
      <c r="P17" s="84" t="s">
        <v>280</v>
      </c>
      <c r="Q17" s="77"/>
      <c r="R17" s="81"/>
      <c r="S17" s="90"/>
      <c r="T17" s="175"/>
      <c r="U17" s="176"/>
      <c r="V17" s="84"/>
      <c r="W17" s="84"/>
      <c r="X17" s="76"/>
      <c r="Y17" s="81" t="s">
        <v>188</v>
      </c>
      <c r="Z17" s="90" t="s">
        <v>189</v>
      </c>
      <c r="AA17" s="175" t="s">
        <v>114</v>
      </c>
      <c r="AB17" s="176"/>
      <c r="AC17" s="84" t="s">
        <v>190</v>
      </c>
      <c r="AD17" s="84" t="s">
        <v>281</v>
      </c>
    </row>
    <row r="18" spans="1:30" x14ac:dyDescent="0.25">
      <c r="A18" s="204"/>
      <c r="B18" s="207"/>
      <c r="C18" s="17" t="s">
        <v>13</v>
      </c>
      <c r="D18" s="85"/>
      <c r="E18" s="86"/>
      <c r="F18" s="160"/>
      <c r="G18" s="161"/>
      <c r="H18" s="87"/>
      <c r="I18" s="87"/>
      <c r="J18" s="77"/>
      <c r="K18" s="85"/>
      <c r="L18" s="86"/>
      <c r="M18" s="160"/>
      <c r="N18" s="161"/>
      <c r="O18" s="87"/>
      <c r="P18" s="87"/>
      <c r="Q18" s="77"/>
      <c r="R18" s="85"/>
      <c r="S18" s="86"/>
      <c r="T18" s="160"/>
      <c r="U18" s="161"/>
      <c r="V18" s="87"/>
      <c r="W18" s="87"/>
      <c r="X18" s="76"/>
      <c r="Y18" s="85"/>
      <c r="Z18" s="86"/>
      <c r="AA18" s="160"/>
      <c r="AB18" s="161"/>
      <c r="AC18" s="87"/>
      <c r="AD18" s="87"/>
    </row>
    <row r="19" spans="1:30" x14ac:dyDescent="0.25">
      <c r="A19" s="204"/>
      <c r="B19" s="207"/>
      <c r="C19" s="17" t="s">
        <v>14</v>
      </c>
      <c r="D19" s="85"/>
      <c r="E19" s="87"/>
      <c r="F19" s="160"/>
      <c r="G19" s="161"/>
      <c r="H19" s="87"/>
      <c r="I19" s="87"/>
      <c r="J19" s="77"/>
      <c r="K19" s="85"/>
      <c r="L19" s="87"/>
      <c r="M19" s="160"/>
      <c r="N19" s="161"/>
      <c r="O19" s="87"/>
      <c r="P19" s="87"/>
      <c r="Q19" s="77"/>
      <c r="R19" s="85"/>
      <c r="S19" s="87"/>
      <c r="T19" s="160"/>
      <c r="U19" s="161"/>
      <c r="V19" s="87"/>
      <c r="W19" s="87"/>
      <c r="X19" s="76"/>
      <c r="Y19" s="85"/>
      <c r="Z19" s="87"/>
      <c r="AA19" s="160"/>
      <c r="AB19" s="161"/>
      <c r="AC19" s="87"/>
      <c r="AD19" s="87"/>
    </row>
    <row r="20" spans="1:30" x14ac:dyDescent="0.25">
      <c r="A20" s="204"/>
      <c r="B20" s="207"/>
      <c r="C20" s="17" t="s">
        <v>15</v>
      </c>
      <c r="D20" s="85"/>
      <c r="E20" s="87"/>
      <c r="F20" s="160"/>
      <c r="G20" s="161"/>
      <c r="H20" s="87"/>
      <c r="I20" s="87"/>
      <c r="J20" s="77"/>
      <c r="K20" s="85"/>
      <c r="L20" s="87"/>
      <c r="M20" s="160"/>
      <c r="N20" s="161"/>
      <c r="O20" s="87"/>
      <c r="P20" s="87"/>
      <c r="Q20" s="77"/>
      <c r="R20" s="85" t="s">
        <v>198</v>
      </c>
      <c r="S20" s="87" t="s">
        <v>199</v>
      </c>
      <c r="T20" s="160" t="s">
        <v>114</v>
      </c>
      <c r="U20" s="161"/>
      <c r="V20" s="87" t="s">
        <v>200</v>
      </c>
      <c r="W20" s="87" t="s">
        <v>209</v>
      </c>
      <c r="X20" s="76"/>
      <c r="Y20" s="85"/>
      <c r="Z20" s="87"/>
      <c r="AA20" s="160"/>
      <c r="AB20" s="161"/>
      <c r="AC20" s="87"/>
      <c r="AD20" s="87"/>
    </row>
    <row r="21" spans="1:30" x14ac:dyDescent="0.25">
      <c r="A21" s="204"/>
      <c r="B21" s="207"/>
      <c r="C21" s="17" t="s">
        <v>16</v>
      </c>
      <c r="D21" s="85"/>
      <c r="E21" s="87"/>
      <c r="F21" s="160"/>
      <c r="G21" s="161"/>
      <c r="H21" s="87"/>
      <c r="I21" s="87"/>
      <c r="J21" s="77"/>
      <c r="K21" s="85"/>
      <c r="L21" s="87"/>
      <c r="M21" s="160"/>
      <c r="N21" s="161"/>
      <c r="O21" s="87"/>
      <c r="P21" s="87"/>
      <c r="Q21" s="77"/>
      <c r="R21" s="85"/>
      <c r="S21" s="87"/>
      <c r="T21" s="160"/>
      <c r="U21" s="161"/>
      <c r="V21" s="87"/>
      <c r="W21" s="87"/>
      <c r="X21" s="76"/>
      <c r="Y21" s="85"/>
      <c r="Z21" s="87"/>
      <c r="AA21" s="160"/>
      <c r="AB21" s="161"/>
      <c r="AC21" s="87"/>
      <c r="AD21" s="87"/>
    </row>
    <row r="22" spans="1:30" x14ac:dyDescent="0.25">
      <c r="A22" s="204"/>
      <c r="B22" s="207"/>
      <c r="C22" s="17" t="s">
        <v>17</v>
      </c>
      <c r="D22" s="85"/>
      <c r="E22" s="87"/>
      <c r="F22" s="160"/>
      <c r="G22" s="161"/>
      <c r="H22" s="87"/>
      <c r="I22" s="87"/>
      <c r="J22" s="77"/>
      <c r="K22" s="85"/>
      <c r="L22" s="87"/>
      <c r="M22" s="160"/>
      <c r="N22" s="161"/>
      <c r="O22" s="87"/>
      <c r="P22" s="87"/>
      <c r="Q22" s="77"/>
      <c r="R22" s="85"/>
      <c r="S22" s="87"/>
      <c r="T22" s="160"/>
      <c r="U22" s="161"/>
      <c r="V22" s="87"/>
      <c r="W22" s="87"/>
      <c r="X22" s="76"/>
      <c r="Y22" s="85"/>
      <c r="Z22" s="87"/>
      <c r="AA22" s="160"/>
      <c r="AB22" s="161"/>
      <c r="AC22" s="87"/>
      <c r="AD22" s="87"/>
    </row>
    <row r="23" spans="1:30" ht="15.75" thickBot="1" x14ac:dyDescent="0.3">
      <c r="A23" s="204"/>
      <c r="B23" s="207"/>
      <c r="C23" s="36" t="s">
        <v>33</v>
      </c>
      <c r="D23" s="94"/>
      <c r="E23" s="95"/>
      <c r="F23" s="189"/>
      <c r="G23" s="190"/>
      <c r="H23" s="95"/>
      <c r="I23" s="95"/>
      <c r="J23" s="77"/>
      <c r="K23" s="94"/>
      <c r="L23" s="95"/>
      <c r="M23" s="189"/>
      <c r="N23" s="190"/>
      <c r="O23" s="95"/>
      <c r="P23" s="95"/>
      <c r="Q23" s="77"/>
      <c r="R23" s="94"/>
      <c r="S23" s="95"/>
      <c r="T23" s="189"/>
      <c r="U23" s="190"/>
      <c r="V23" s="95"/>
      <c r="W23" s="95"/>
      <c r="X23" s="76"/>
      <c r="Y23" s="94"/>
      <c r="Z23" s="95"/>
      <c r="AA23" s="189"/>
      <c r="AB23" s="190"/>
      <c r="AC23" s="95"/>
      <c r="AD23" s="95"/>
    </row>
    <row r="24" spans="1:30" ht="18" thickBot="1" x14ac:dyDescent="0.3">
      <c r="A24" s="204"/>
      <c r="B24" s="207"/>
      <c r="C24" s="47" t="s">
        <v>93</v>
      </c>
      <c r="D24" s="78" t="s">
        <v>32</v>
      </c>
      <c r="E24" s="79" t="s">
        <v>94</v>
      </c>
      <c r="F24" s="221" t="s">
        <v>20</v>
      </c>
      <c r="G24" s="222"/>
      <c r="H24" s="79" t="s">
        <v>252</v>
      </c>
      <c r="I24" s="79" t="s">
        <v>23</v>
      </c>
      <c r="J24" s="77"/>
      <c r="K24" s="78" t="s">
        <v>32</v>
      </c>
      <c r="L24" s="79" t="s">
        <v>94</v>
      </c>
      <c r="M24" s="221" t="s">
        <v>20</v>
      </c>
      <c r="N24" s="222"/>
      <c r="O24" s="79" t="s">
        <v>252</v>
      </c>
      <c r="P24" s="79" t="s">
        <v>23</v>
      </c>
      <c r="Q24" s="77"/>
      <c r="R24" s="78" t="s">
        <v>32</v>
      </c>
      <c r="S24" s="79" t="s">
        <v>94</v>
      </c>
      <c r="T24" s="221" t="s">
        <v>20</v>
      </c>
      <c r="U24" s="222"/>
      <c r="V24" s="79" t="s">
        <v>252</v>
      </c>
      <c r="W24" s="79" t="s">
        <v>23</v>
      </c>
      <c r="X24" s="76"/>
      <c r="Y24" s="78" t="s">
        <v>32</v>
      </c>
      <c r="Z24" s="79" t="s">
        <v>94</v>
      </c>
      <c r="AA24" s="221" t="s">
        <v>20</v>
      </c>
      <c r="AB24" s="222"/>
      <c r="AC24" s="79" t="s">
        <v>252</v>
      </c>
      <c r="AD24" s="79" t="s">
        <v>23</v>
      </c>
    </row>
    <row r="25" spans="1:30" x14ac:dyDescent="0.25">
      <c r="A25" s="204"/>
      <c r="B25" s="207"/>
      <c r="C25" s="45" t="s">
        <v>19</v>
      </c>
      <c r="D25" s="81"/>
      <c r="E25" s="84"/>
      <c r="F25" s="175"/>
      <c r="G25" s="176"/>
      <c r="H25" s="84"/>
      <c r="I25" s="84"/>
      <c r="J25" s="77"/>
      <c r="K25" s="81"/>
      <c r="L25" s="84"/>
      <c r="M25" s="175"/>
      <c r="N25" s="176"/>
      <c r="O25" s="84"/>
      <c r="P25" s="84"/>
      <c r="Q25" s="77"/>
      <c r="R25" s="81"/>
      <c r="S25" s="84"/>
      <c r="T25" s="175"/>
      <c r="U25" s="176"/>
      <c r="V25" s="84"/>
      <c r="W25" s="84"/>
      <c r="X25" s="76"/>
      <c r="Y25" s="81"/>
      <c r="Z25" s="84"/>
      <c r="AA25" s="175"/>
      <c r="AB25" s="176"/>
      <c r="AC25" s="84"/>
      <c r="AD25" s="84"/>
    </row>
    <row r="26" spans="1:30" ht="15.75" thickBot="1" x14ac:dyDescent="0.3">
      <c r="A26" s="205"/>
      <c r="B26" s="208"/>
      <c r="C26" s="46" t="s">
        <v>18</v>
      </c>
      <c r="D26" s="98"/>
      <c r="E26" s="99"/>
      <c r="F26" s="173"/>
      <c r="G26" s="174"/>
      <c r="H26" s="99"/>
      <c r="I26" s="99"/>
      <c r="J26" s="77"/>
      <c r="K26" s="98"/>
      <c r="L26" s="99"/>
      <c r="M26" s="173"/>
      <c r="N26" s="174"/>
      <c r="O26" s="99"/>
      <c r="P26" s="99"/>
      <c r="Q26" s="77"/>
      <c r="R26" s="98"/>
      <c r="S26" s="99"/>
      <c r="T26" s="173"/>
      <c r="U26" s="174"/>
      <c r="V26" s="99"/>
      <c r="W26" s="99"/>
      <c r="X26" s="76"/>
      <c r="Y26" s="98"/>
      <c r="Z26" s="99"/>
      <c r="AA26" s="173"/>
      <c r="AB26" s="174"/>
      <c r="AC26" s="99"/>
      <c r="AD26" s="99"/>
    </row>
    <row r="27" spans="1:30" ht="15.75" thickBot="1" x14ac:dyDescent="0.3">
      <c r="A27" s="18"/>
      <c r="B27" s="15"/>
      <c r="C27" s="15"/>
      <c r="D27" s="171"/>
      <c r="E27" s="172"/>
      <c r="F27" s="172"/>
      <c r="G27" s="172"/>
      <c r="H27" s="172"/>
      <c r="I27" s="172"/>
      <c r="J27" s="77"/>
      <c r="K27" s="171"/>
      <c r="L27" s="172"/>
      <c r="M27" s="172"/>
      <c r="N27" s="172"/>
      <c r="O27" s="172"/>
      <c r="P27" s="172"/>
      <c r="Q27" s="77"/>
      <c r="R27" s="171"/>
      <c r="S27" s="172"/>
      <c r="T27" s="172"/>
      <c r="U27" s="172"/>
      <c r="V27" s="172"/>
      <c r="W27" s="172"/>
      <c r="X27" s="76"/>
      <c r="Y27" s="171"/>
      <c r="Z27" s="172"/>
      <c r="AA27" s="172"/>
      <c r="AB27" s="172"/>
      <c r="AC27" s="172"/>
      <c r="AD27" s="172"/>
    </row>
    <row r="28" spans="1:30" ht="60" customHeight="1" thickBot="1" x14ac:dyDescent="0.3">
      <c r="A28" s="225" t="s">
        <v>21</v>
      </c>
      <c r="B28" s="206" t="s">
        <v>104</v>
      </c>
      <c r="C28" s="47"/>
      <c r="D28" s="100" t="s">
        <v>32</v>
      </c>
      <c r="E28" s="79" t="s">
        <v>20</v>
      </c>
      <c r="F28" s="221" t="s">
        <v>97</v>
      </c>
      <c r="G28" s="222"/>
      <c r="H28" s="228" t="s">
        <v>23</v>
      </c>
      <c r="I28" s="228"/>
      <c r="J28" s="77"/>
      <c r="K28" s="100" t="s">
        <v>32</v>
      </c>
      <c r="L28" s="79" t="s">
        <v>20</v>
      </c>
      <c r="M28" s="221" t="s">
        <v>97</v>
      </c>
      <c r="N28" s="222"/>
      <c r="O28" s="228" t="s">
        <v>23</v>
      </c>
      <c r="P28" s="228"/>
      <c r="Q28" s="77"/>
      <c r="R28" s="100" t="s">
        <v>32</v>
      </c>
      <c r="S28" s="79" t="s">
        <v>20</v>
      </c>
      <c r="T28" s="221" t="s">
        <v>97</v>
      </c>
      <c r="U28" s="222"/>
      <c r="V28" s="228" t="s">
        <v>23</v>
      </c>
      <c r="W28" s="228"/>
      <c r="X28" s="76"/>
      <c r="Y28" s="100" t="s">
        <v>32</v>
      </c>
      <c r="Z28" s="79" t="s">
        <v>20</v>
      </c>
      <c r="AA28" s="221" t="s">
        <v>97</v>
      </c>
      <c r="AB28" s="222"/>
      <c r="AC28" s="228" t="s">
        <v>23</v>
      </c>
      <c r="AD28" s="228"/>
    </row>
    <row r="29" spans="1:30" ht="17.25" customHeight="1" x14ac:dyDescent="0.25">
      <c r="A29" s="226"/>
      <c r="B29" s="207"/>
      <c r="C29" s="45" t="s">
        <v>24</v>
      </c>
      <c r="D29" s="83" t="s">
        <v>181</v>
      </c>
      <c r="E29" s="84" t="s">
        <v>96</v>
      </c>
      <c r="F29" s="175" t="s">
        <v>183</v>
      </c>
      <c r="G29" s="176"/>
      <c r="H29" s="209" t="s">
        <v>282</v>
      </c>
      <c r="I29" s="209"/>
      <c r="J29" s="77"/>
      <c r="K29" s="83" t="s">
        <v>154</v>
      </c>
      <c r="L29" s="84" t="s">
        <v>96</v>
      </c>
      <c r="M29" s="175" t="s">
        <v>191</v>
      </c>
      <c r="N29" s="176"/>
      <c r="O29" s="209" t="s">
        <v>259</v>
      </c>
      <c r="P29" s="209"/>
      <c r="Q29" s="77"/>
      <c r="R29" s="83" t="s">
        <v>201</v>
      </c>
      <c r="S29" s="84" t="s">
        <v>96</v>
      </c>
      <c r="T29" s="175" t="s">
        <v>202</v>
      </c>
      <c r="U29" s="176"/>
      <c r="V29" s="209" t="s">
        <v>283</v>
      </c>
      <c r="W29" s="209"/>
      <c r="X29" s="76"/>
      <c r="Y29" s="83" t="s">
        <v>154</v>
      </c>
      <c r="Z29" s="84" t="s">
        <v>96</v>
      </c>
      <c r="AA29" s="175" t="s">
        <v>191</v>
      </c>
      <c r="AB29" s="176"/>
      <c r="AC29" s="209" t="s">
        <v>284</v>
      </c>
      <c r="AD29" s="209"/>
    </row>
    <row r="30" spans="1:30" ht="17.25" customHeight="1" x14ac:dyDescent="0.25">
      <c r="A30" s="226"/>
      <c r="B30" s="207"/>
      <c r="C30" s="17" t="s">
        <v>24</v>
      </c>
      <c r="D30" s="89" t="s">
        <v>185</v>
      </c>
      <c r="E30" s="84" t="s">
        <v>96</v>
      </c>
      <c r="F30" s="160" t="s">
        <v>182</v>
      </c>
      <c r="G30" s="161"/>
      <c r="H30" s="209" t="s">
        <v>285</v>
      </c>
      <c r="I30" s="209"/>
      <c r="J30" s="77"/>
      <c r="K30" s="89" t="s">
        <v>192</v>
      </c>
      <c r="L30" s="87" t="s">
        <v>96</v>
      </c>
      <c r="M30" s="160" t="s">
        <v>193</v>
      </c>
      <c r="N30" s="161"/>
      <c r="O30" s="209" t="s">
        <v>259</v>
      </c>
      <c r="P30" s="209"/>
      <c r="Q30" s="77"/>
      <c r="R30" s="89"/>
      <c r="S30" s="87"/>
      <c r="T30" s="160"/>
      <c r="U30" s="161"/>
      <c r="V30" s="160"/>
      <c r="W30" s="161"/>
      <c r="X30" s="76"/>
      <c r="Y30" s="89" t="s">
        <v>192</v>
      </c>
      <c r="Z30" s="87" t="s">
        <v>96</v>
      </c>
      <c r="AA30" s="160" t="s">
        <v>193</v>
      </c>
      <c r="AB30" s="161"/>
      <c r="AC30" s="209" t="s">
        <v>284</v>
      </c>
      <c r="AD30" s="209"/>
    </row>
    <row r="31" spans="1:30" x14ac:dyDescent="0.25">
      <c r="A31" s="226"/>
      <c r="B31" s="207"/>
      <c r="C31" s="17" t="s">
        <v>24</v>
      </c>
      <c r="D31" s="89" t="s">
        <v>184</v>
      </c>
      <c r="E31" s="84" t="s">
        <v>96</v>
      </c>
      <c r="F31" s="160" t="s">
        <v>186</v>
      </c>
      <c r="G31" s="161"/>
      <c r="H31" s="209" t="s">
        <v>286</v>
      </c>
      <c r="I31" s="209"/>
      <c r="J31" s="77"/>
      <c r="K31" s="89"/>
      <c r="L31" s="87"/>
      <c r="M31" s="160"/>
      <c r="N31" s="161"/>
      <c r="O31" s="209"/>
      <c r="P31" s="209"/>
      <c r="Q31" s="77"/>
      <c r="R31" s="89"/>
      <c r="S31" s="87"/>
      <c r="T31" s="160"/>
      <c r="U31" s="161"/>
      <c r="V31" s="182"/>
      <c r="W31" s="182"/>
      <c r="X31" s="76"/>
      <c r="Y31" s="89"/>
      <c r="Z31" s="87"/>
      <c r="AA31" s="160"/>
      <c r="AB31" s="161"/>
      <c r="AC31" s="209"/>
      <c r="AD31" s="209"/>
    </row>
    <row r="32" spans="1:30" x14ac:dyDescent="0.25">
      <c r="A32" s="226"/>
      <c r="B32" s="207"/>
      <c r="C32" s="17" t="s">
        <v>196</v>
      </c>
      <c r="D32" s="89"/>
      <c r="E32" s="87"/>
      <c r="F32" s="182"/>
      <c r="G32" s="182"/>
      <c r="H32" s="182"/>
      <c r="I32" s="182"/>
      <c r="J32" s="77"/>
      <c r="K32" s="89" t="s">
        <v>194</v>
      </c>
      <c r="L32" s="87"/>
      <c r="M32" s="182" t="s">
        <v>195</v>
      </c>
      <c r="N32" s="182"/>
      <c r="O32" s="209" t="s">
        <v>287</v>
      </c>
      <c r="P32" s="209"/>
      <c r="Q32" s="77"/>
      <c r="R32" s="89"/>
      <c r="S32" s="87"/>
      <c r="T32" s="182"/>
      <c r="U32" s="182"/>
      <c r="V32" s="182"/>
      <c r="W32" s="182"/>
      <c r="X32" s="76"/>
      <c r="Y32" s="89" t="s">
        <v>194</v>
      </c>
      <c r="Z32" s="87"/>
      <c r="AA32" s="182" t="s">
        <v>195</v>
      </c>
      <c r="AB32" s="182"/>
      <c r="AC32" s="209" t="s">
        <v>288</v>
      </c>
      <c r="AD32" s="209"/>
    </row>
    <row r="33" spans="1:31" x14ac:dyDescent="0.25">
      <c r="A33" s="226"/>
      <c r="B33" s="207"/>
      <c r="C33" s="17" t="s">
        <v>22</v>
      </c>
      <c r="D33" s="89"/>
      <c r="E33" s="87"/>
      <c r="F33" s="160"/>
      <c r="G33" s="161"/>
      <c r="H33" s="160"/>
      <c r="I33" s="161"/>
      <c r="J33" s="77"/>
      <c r="K33" s="89"/>
      <c r="L33" s="87"/>
      <c r="M33" s="160"/>
      <c r="N33" s="161"/>
      <c r="O33" s="160"/>
      <c r="P33" s="161"/>
      <c r="Q33" s="77"/>
      <c r="R33" s="89"/>
      <c r="S33" s="87"/>
      <c r="T33" s="160"/>
      <c r="U33" s="161"/>
      <c r="V33" s="160"/>
      <c r="W33" s="161"/>
      <c r="X33" s="76"/>
      <c r="Y33" s="89"/>
      <c r="Z33" s="87"/>
      <c r="AA33" s="160"/>
      <c r="AB33" s="161"/>
      <c r="AC33" s="160"/>
      <c r="AD33" s="161"/>
    </row>
    <row r="34" spans="1:31" ht="15.75" thickBot="1" x14ac:dyDescent="0.3">
      <c r="A34" s="226"/>
      <c r="B34" s="207"/>
      <c r="C34" s="46" t="s">
        <v>22</v>
      </c>
      <c r="D34" s="101"/>
      <c r="E34" s="99"/>
      <c r="F34" s="173"/>
      <c r="G34" s="174"/>
      <c r="H34" s="173"/>
      <c r="I34" s="174"/>
      <c r="J34" s="77"/>
      <c r="K34" s="101"/>
      <c r="L34" s="99"/>
      <c r="M34" s="173"/>
      <c r="N34" s="174"/>
      <c r="O34" s="173"/>
      <c r="P34" s="174"/>
      <c r="Q34" s="77"/>
      <c r="R34" s="101"/>
      <c r="S34" s="99"/>
      <c r="T34" s="173"/>
      <c r="U34" s="174"/>
      <c r="V34" s="173"/>
      <c r="W34" s="174"/>
      <c r="X34" s="76"/>
      <c r="Y34" s="101"/>
      <c r="Z34" s="99"/>
      <c r="AA34" s="173"/>
      <c r="AB34" s="174"/>
      <c r="AC34" s="173"/>
      <c r="AD34" s="174"/>
    </row>
    <row r="35" spans="1:31" s="37" customFormat="1" ht="15.75" thickBot="1" x14ac:dyDescent="0.3">
      <c r="A35" s="227"/>
      <c r="B35" s="208"/>
      <c r="C35" s="47" t="s">
        <v>70</v>
      </c>
      <c r="D35" s="230"/>
      <c r="E35" s="231"/>
      <c r="F35" s="231"/>
      <c r="G35" s="222"/>
      <c r="H35" s="229"/>
      <c r="I35" s="229"/>
      <c r="J35" s="102"/>
      <c r="K35" s="231"/>
      <c r="L35" s="231"/>
      <c r="M35" s="231"/>
      <c r="N35" s="222"/>
      <c r="O35" s="229"/>
      <c r="P35" s="229"/>
      <c r="Q35" s="102"/>
      <c r="R35" s="231"/>
      <c r="S35" s="231"/>
      <c r="T35" s="231"/>
      <c r="U35" s="222"/>
      <c r="V35" s="229"/>
      <c r="W35" s="229"/>
      <c r="X35" s="102"/>
      <c r="Y35" s="231"/>
      <c r="Z35" s="231"/>
      <c r="AA35" s="231"/>
      <c r="AB35" s="222"/>
      <c r="AC35" s="229"/>
      <c r="AD35" s="229"/>
      <c r="AE35" s="38"/>
    </row>
    <row r="36" spans="1:31" ht="15.75" thickBot="1" x14ac:dyDescent="0.3">
      <c r="A36" s="12"/>
      <c r="B36" s="15"/>
      <c r="C36" s="15"/>
      <c r="D36" s="171"/>
      <c r="E36" s="172"/>
      <c r="F36" s="172"/>
      <c r="G36" s="172"/>
      <c r="H36" s="172"/>
      <c r="I36" s="172"/>
      <c r="J36" s="77"/>
      <c r="K36" s="171"/>
      <c r="L36" s="172"/>
      <c r="M36" s="172"/>
      <c r="N36" s="172"/>
      <c r="O36" s="172"/>
      <c r="P36" s="172"/>
      <c r="Q36" s="77"/>
      <c r="R36" s="171"/>
      <c r="S36" s="172"/>
      <c r="T36" s="172"/>
      <c r="U36" s="172"/>
      <c r="V36" s="172"/>
      <c r="W36" s="172"/>
      <c r="X36" s="76"/>
      <c r="Y36" s="171"/>
      <c r="Z36" s="172"/>
      <c r="AA36" s="172"/>
      <c r="AB36" s="172"/>
      <c r="AC36" s="172"/>
      <c r="AD36" s="172"/>
    </row>
    <row r="37" spans="1:31" ht="15.75" customHeight="1" thickBot="1" x14ac:dyDescent="0.3">
      <c r="A37" s="248" t="s">
        <v>26</v>
      </c>
      <c r="B37" s="249" t="s">
        <v>106</v>
      </c>
      <c r="C37" s="48"/>
      <c r="D37" s="256" t="s">
        <v>9</v>
      </c>
      <c r="E37" s="253"/>
      <c r="F37" s="257" t="s">
        <v>10</v>
      </c>
      <c r="G37" s="257"/>
      <c r="H37" s="257"/>
      <c r="I37" s="257"/>
      <c r="J37" s="103" t="s">
        <v>9</v>
      </c>
      <c r="K37" s="256" t="s">
        <v>9</v>
      </c>
      <c r="L37" s="253"/>
      <c r="M37" s="257" t="s">
        <v>10</v>
      </c>
      <c r="N37" s="257"/>
      <c r="O37" s="257"/>
      <c r="P37" s="257"/>
      <c r="Q37" s="103"/>
      <c r="R37" s="256" t="s">
        <v>9</v>
      </c>
      <c r="S37" s="253"/>
      <c r="T37" s="257" t="s">
        <v>10</v>
      </c>
      <c r="U37" s="257"/>
      <c r="V37" s="257"/>
      <c r="W37" s="257"/>
      <c r="X37" s="103"/>
      <c r="Y37" s="256" t="s">
        <v>9</v>
      </c>
      <c r="Z37" s="253"/>
      <c r="AA37" s="257" t="s">
        <v>10</v>
      </c>
      <c r="AB37" s="257"/>
      <c r="AC37" s="257"/>
      <c r="AD37" s="257"/>
      <c r="AE37" s="58"/>
    </row>
    <row r="38" spans="1:31" ht="15" customHeight="1" x14ac:dyDescent="0.25">
      <c r="A38" s="248"/>
      <c r="B38" s="250"/>
      <c r="C38" s="16" t="s">
        <v>27</v>
      </c>
      <c r="D38" s="254"/>
      <c r="E38" s="255"/>
      <c r="F38" s="274" t="s">
        <v>289</v>
      </c>
      <c r="G38" s="275"/>
      <c r="H38" s="275"/>
      <c r="I38" s="276"/>
      <c r="J38" s="77"/>
      <c r="K38" s="254"/>
      <c r="L38" s="255"/>
      <c r="M38" s="162" t="s">
        <v>290</v>
      </c>
      <c r="N38" s="162"/>
      <c r="O38" s="162"/>
      <c r="P38" s="162"/>
      <c r="Q38" s="77"/>
      <c r="R38" s="254"/>
      <c r="S38" s="255"/>
      <c r="T38" s="162" t="s">
        <v>291</v>
      </c>
      <c r="U38" s="162"/>
      <c r="V38" s="162"/>
      <c r="W38" s="162"/>
      <c r="X38" s="76"/>
      <c r="Y38" s="254"/>
      <c r="Z38" s="255"/>
      <c r="AA38" s="162" t="s">
        <v>292</v>
      </c>
      <c r="AB38" s="162"/>
      <c r="AC38" s="162"/>
      <c r="AD38" s="162"/>
    </row>
    <row r="39" spans="1:31" x14ac:dyDescent="0.25">
      <c r="A39" s="248"/>
      <c r="B39" s="250"/>
      <c r="C39" s="16" t="s">
        <v>28</v>
      </c>
      <c r="D39" s="177"/>
      <c r="E39" s="178"/>
      <c r="F39" s="277"/>
      <c r="G39" s="177"/>
      <c r="H39" s="177"/>
      <c r="I39" s="178"/>
      <c r="J39" s="77"/>
      <c r="K39" s="177"/>
      <c r="L39" s="178"/>
      <c r="M39" s="163"/>
      <c r="N39" s="163"/>
      <c r="O39" s="163"/>
      <c r="P39" s="163"/>
      <c r="Q39" s="77"/>
      <c r="R39" s="177" t="s">
        <v>100</v>
      </c>
      <c r="S39" s="178"/>
      <c r="T39" s="163"/>
      <c r="U39" s="163"/>
      <c r="V39" s="163"/>
      <c r="W39" s="163"/>
      <c r="X39" s="76"/>
      <c r="Y39" s="177"/>
      <c r="Z39" s="178"/>
      <c r="AA39" s="163"/>
      <c r="AB39" s="163"/>
      <c r="AC39" s="163"/>
      <c r="AD39" s="163"/>
    </row>
    <row r="40" spans="1:31" ht="15.75" thickBot="1" x14ac:dyDescent="0.3">
      <c r="A40" s="248"/>
      <c r="B40" s="251"/>
      <c r="C40" s="49" t="s">
        <v>29</v>
      </c>
      <c r="D40" s="234" t="s">
        <v>273</v>
      </c>
      <c r="E40" s="235"/>
      <c r="F40" s="219"/>
      <c r="G40" s="219"/>
      <c r="H40" s="219"/>
      <c r="I40" s="219"/>
      <c r="J40" s="77"/>
      <c r="K40" s="234" t="s">
        <v>271</v>
      </c>
      <c r="L40" s="235"/>
      <c r="M40" s="219"/>
      <c r="N40" s="219"/>
      <c r="O40" s="219"/>
      <c r="P40" s="219"/>
      <c r="Q40" s="77"/>
      <c r="R40" s="234" t="s">
        <v>293</v>
      </c>
      <c r="S40" s="235"/>
      <c r="T40" s="219"/>
      <c r="U40" s="219"/>
      <c r="V40" s="219"/>
      <c r="W40" s="219"/>
      <c r="X40" s="76"/>
      <c r="Y40" s="234" t="s">
        <v>294</v>
      </c>
      <c r="Z40" s="235"/>
      <c r="AA40" s="219"/>
      <c r="AB40" s="219"/>
      <c r="AC40" s="219"/>
      <c r="AD40" s="219"/>
    </row>
    <row r="41" spans="1:31" ht="15.75" thickBot="1" x14ac:dyDescent="0.3">
      <c r="A41" s="12"/>
      <c r="B41" s="15"/>
      <c r="C41" s="15"/>
      <c r="D41" s="171"/>
      <c r="E41" s="172"/>
      <c r="F41" s="172"/>
      <c r="G41" s="172"/>
      <c r="H41" s="172"/>
      <c r="I41" s="172"/>
      <c r="J41" s="77"/>
      <c r="K41" s="171"/>
      <c r="L41" s="172"/>
      <c r="M41" s="172"/>
      <c r="N41" s="172"/>
      <c r="O41" s="172"/>
      <c r="P41" s="172"/>
      <c r="Q41" s="77"/>
      <c r="R41" s="171"/>
      <c r="S41" s="172"/>
      <c r="T41" s="172"/>
      <c r="U41" s="172"/>
      <c r="V41" s="172"/>
      <c r="W41" s="172"/>
      <c r="X41" s="76"/>
      <c r="Y41" s="171"/>
      <c r="Z41" s="172"/>
      <c r="AA41" s="172"/>
      <c r="AB41" s="172"/>
      <c r="AC41" s="172"/>
      <c r="AD41" s="172"/>
    </row>
    <row r="42" spans="1:31" ht="15" customHeight="1" thickBot="1" x14ac:dyDescent="0.3">
      <c r="A42" s="243" t="s">
        <v>30</v>
      </c>
      <c r="B42" s="245" t="s">
        <v>107</v>
      </c>
      <c r="C42" s="57"/>
      <c r="D42" s="104" t="s">
        <v>9</v>
      </c>
      <c r="E42" s="236" t="s">
        <v>89</v>
      </c>
      <c r="F42" s="237"/>
      <c r="G42" s="232" t="s">
        <v>88</v>
      </c>
      <c r="H42" s="232"/>
      <c r="I42" s="232"/>
      <c r="J42" s="77"/>
      <c r="K42" s="104" t="s">
        <v>9</v>
      </c>
      <c r="L42" s="236" t="s">
        <v>89</v>
      </c>
      <c r="M42" s="237"/>
      <c r="N42" s="232" t="s">
        <v>88</v>
      </c>
      <c r="O42" s="232"/>
      <c r="P42" s="232"/>
      <c r="Q42" s="77"/>
      <c r="R42" s="104" t="s">
        <v>9</v>
      </c>
      <c r="S42" s="236" t="s">
        <v>89</v>
      </c>
      <c r="T42" s="237"/>
      <c r="U42" s="232" t="s">
        <v>88</v>
      </c>
      <c r="V42" s="232"/>
      <c r="W42" s="232"/>
      <c r="X42" s="76"/>
      <c r="Y42" s="104" t="s">
        <v>9</v>
      </c>
      <c r="Z42" s="236" t="s">
        <v>89</v>
      </c>
      <c r="AA42" s="237"/>
      <c r="AB42" s="232" t="s">
        <v>88</v>
      </c>
      <c r="AC42" s="232"/>
      <c r="AD42" s="232"/>
    </row>
    <row r="43" spans="1:31" ht="15" customHeight="1" x14ac:dyDescent="0.25">
      <c r="A43" s="244"/>
      <c r="B43" s="246"/>
      <c r="C43" s="56" t="s">
        <v>35</v>
      </c>
      <c r="D43" s="105" t="s">
        <v>145</v>
      </c>
      <c r="E43" s="241" t="s">
        <v>203</v>
      </c>
      <c r="F43" s="242"/>
      <c r="G43" s="233">
        <v>1115</v>
      </c>
      <c r="H43" s="233"/>
      <c r="I43" s="233"/>
      <c r="J43" s="77"/>
      <c r="K43" s="105" t="s">
        <v>145</v>
      </c>
      <c r="L43" s="241">
        <v>4.7</v>
      </c>
      <c r="M43" s="242"/>
      <c r="N43" s="233">
        <v>705</v>
      </c>
      <c r="O43" s="233"/>
      <c r="P43" s="233"/>
      <c r="Q43" s="77"/>
      <c r="R43" s="105" t="s">
        <v>145</v>
      </c>
      <c r="S43" s="241">
        <v>3.5</v>
      </c>
      <c r="T43" s="242"/>
      <c r="U43" s="233">
        <v>956</v>
      </c>
      <c r="V43" s="233"/>
      <c r="W43" s="233"/>
      <c r="X43" s="76"/>
      <c r="Y43" s="105" t="s">
        <v>145</v>
      </c>
      <c r="Z43" s="241">
        <v>6</v>
      </c>
      <c r="AA43" s="242"/>
      <c r="AB43" s="233">
        <v>900</v>
      </c>
      <c r="AC43" s="233"/>
      <c r="AD43" s="233"/>
    </row>
    <row r="44" spans="1:31" ht="15.75" thickBot="1" x14ac:dyDescent="0.3">
      <c r="A44" s="244"/>
      <c r="B44" s="247"/>
      <c r="C44" s="55" t="s">
        <v>34</v>
      </c>
      <c r="D44" s="106"/>
      <c r="E44" s="239"/>
      <c r="F44" s="240"/>
      <c r="G44" s="170"/>
      <c r="H44" s="170"/>
      <c r="I44" s="170"/>
      <c r="J44" s="77"/>
      <c r="K44" s="106"/>
      <c r="L44" s="239"/>
      <c r="M44" s="240"/>
      <c r="N44" s="170"/>
      <c r="O44" s="170"/>
      <c r="P44" s="170"/>
      <c r="Q44" s="77"/>
      <c r="R44" s="106"/>
      <c r="S44" s="239"/>
      <c r="T44" s="240"/>
      <c r="U44" s="170"/>
      <c r="V44" s="170"/>
      <c r="W44" s="170"/>
      <c r="X44" s="76"/>
      <c r="Y44" s="106"/>
      <c r="Z44" s="239"/>
      <c r="AA44" s="240"/>
      <c r="AB44" s="170"/>
      <c r="AC44" s="170"/>
      <c r="AD44" s="170"/>
    </row>
    <row r="45" spans="1:31" ht="15.75" thickBot="1" x14ac:dyDescent="0.3">
      <c r="A45" s="12"/>
      <c r="B45" s="15"/>
      <c r="C45" s="15"/>
      <c r="D45" s="171"/>
      <c r="E45" s="172"/>
      <c r="F45" s="172"/>
      <c r="G45" s="172"/>
      <c r="H45" s="172"/>
      <c r="I45" s="172"/>
      <c r="J45" s="77"/>
      <c r="K45" s="171"/>
      <c r="L45" s="172"/>
      <c r="M45" s="172"/>
      <c r="N45" s="172"/>
      <c r="O45" s="172"/>
      <c r="P45" s="172"/>
      <c r="Q45" s="77"/>
      <c r="R45" s="171"/>
      <c r="S45" s="172"/>
      <c r="T45" s="172"/>
      <c r="U45" s="172"/>
      <c r="V45" s="172"/>
      <c r="W45" s="172"/>
      <c r="X45" s="76"/>
      <c r="Y45" s="171"/>
      <c r="Z45" s="172"/>
      <c r="AA45" s="172"/>
      <c r="AB45" s="172"/>
      <c r="AC45" s="172"/>
      <c r="AD45" s="172"/>
    </row>
    <row r="46" spans="1:31" ht="15" customHeight="1" x14ac:dyDescent="0.25">
      <c r="A46" s="225" t="s">
        <v>31</v>
      </c>
      <c r="B46" s="264" t="s">
        <v>116</v>
      </c>
      <c r="C46" s="54" t="s">
        <v>36</v>
      </c>
      <c r="D46" s="267">
        <v>60</v>
      </c>
      <c r="E46" s="268"/>
      <c r="F46" s="268"/>
      <c r="G46" s="268"/>
      <c r="H46" s="268"/>
      <c r="I46" s="268"/>
      <c r="J46" s="77"/>
      <c r="K46" s="267">
        <v>60</v>
      </c>
      <c r="L46" s="268"/>
      <c r="M46" s="268"/>
      <c r="N46" s="268"/>
      <c r="O46" s="268"/>
      <c r="P46" s="268"/>
      <c r="Q46" s="77"/>
      <c r="R46" s="267">
        <v>70</v>
      </c>
      <c r="S46" s="268"/>
      <c r="T46" s="268"/>
      <c r="U46" s="268"/>
      <c r="V46" s="268"/>
      <c r="W46" s="268"/>
      <c r="X46" s="76"/>
      <c r="Y46" s="267">
        <v>60</v>
      </c>
      <c r="Z46" s="268"/>
      <c r="AA46" s="268"/>
      <c r="AB46" s="268"/>
      <c r="AC46" s="268"/>
      <c r="AD46" s="268"/>
    </row>
    <row r="47" spans="1:31" x14ac:dyDescent="0.25">
      <c r="A47" s="226"/>
      <c r="B47" s="265"/>
      <c r="C47" s="19" t="s">
        <v>71</v>
      </c>
      <c r="D47" s="161"/>
      <c r="E47" s="182"/>
      <c r="F47" s="182"/>
      <c r="G47" s="182"/>
      <c r="H47" s="182"/>
      <c r="I47" s="182"/>
      <c r="J47" s="77"/>
      <c r="K47" s="161">
        <v>80</v>
      </c>
      <c r="L47" s="182"/>
      <c r="M47" s="182"/>
      <c r="N47" s="182"/>
      <c r="O47" s="182"/>
      <c r="P47" s="182"/>
      <c r="Q47" s="77"/>
      <c r="R47" s="161">
        <v>40</v>
      </c>
      <c r="S47" s="182"/>
      <c r="T47" s="182"/>
      <c r="U47" s="182"/>
      <c r="V47" s="182"/>
      <c r="W47" s="182"/>
      <c r="X47" s="76"/>
      <c r="Y47" s="161">
        <v>86</v>
      </c>
      <c r="Z47" s="182"/>
      <c r="AA47" s="182"/>
      <c r="AB47" s="182"/>
      <c r="AC47" s="182"/>
      <c r="AD47" s="182"/>
    </row>
    <row r="48" spans="1:31" x14ac:dyDescent="0.25">
      <c r="A48" s="226"/>
      <c r="B48" s="265"/>
      <c r="C48" s="19" t="s">
        <v>42</v>
      </c>
      <c r="D48" s="161">
        <v>90</v>
      </c>
      <c r="E48" s="182"/>
      <c r="F48" s="182"/>
      <c r="G48" s="182"/>
      <c r="H48" s="182"/>
      <c r="I48" s="182"/>
      <c r="J48" s="77"/>
      <c r="K48" s="161">
        <v>100</v>
      </c>
      <c r="L48" s="182"/>
      <c r="M48" s="182"/>
      <c r="N48" s="182"/>
      <c r="O48" s="182"/>
      <c r="P48" s="182"/>
      <c r="Q48" s="77"/>
      <c r="R48" s="161">
        <v>40</v>
      </c>
      <c r="S48" s="182"/>
      <c r="T48" s="182"/>
      <c r="U48" s="182"/>
      <c r="V48" s="182"/>
      <c r="W48" s="182"/>
      <c r="X48" s="76"/>
      <c r="Y48" s="161">
        <v>100</v>
      </c>
      <c r="Z48" s="182"/>
      <c r="AA48" s="182"/>
      <c r="AB48" s="182"/>
      <c r="AC48" s="182"/>
      <c r="AD48" s="182"/>
    </row>
    <row r="49" spans="1:31" x14ac:dyDescent="0.25">
      <c r="A49" s="226"/>
      <c r="B49" s="265"/>
      <c r="C49" s="19" t="s">
        <v>43</v>
      </c>
      <c r="D49" s="161">
        <v>110</v>
      </c>
      <c r="E49" s="182"/>
      <c r="F49" s="182"/>
      <c r="G49" s="182"/>
      <c r="H49" s="182"/>
      <c r="I49" s="182"/>
      <c r="J49" s="77"/>
      <c r="K49" s="161">
        <v>50</v>
      </c>
      <c r="L49" s="182"/>
      <c r="M49" s="182"/>
      <c r="N49" s="182"/>
      <c r="O49" s="182"/>
      <c r="P49" s="182"/>
      <c r="Q49" s="77"/>
      <c r="R49" s="161">
        <v>100</v>
      </c>
      <c r="S49" s="182"/>
      <c r="T49" s="182"/>
      <c r="U49" s="182"/>
      <c r="V49" s="182"/>
      <c r="W49" s="182"/>
      <c r="X49" s="76"/>
      <c r="Y49" s="161">
        <v>60</v>
      </c>
      <c r="Z49" s="182"/>
      <c r="AA49" s="182"/>
      <c r="AB49" s="182"/>
      <c r="AC49" s="182"/>
      <c r="AD49" s="182"/>
    </row>
    <row r="50" spans="1:31" x14ac:dyDescent="0.25">
      <c r="A50" s="226"/>
      <c r="B50" s="265"/>
      <c r="C50" s="17" t="s">
        <v>44</v>
      </c>
      <c r="D50" s="258"/>
      <c r="E50" s="259"/>
      <c r="F50" s="259"/>
      <c r="G50" s="259"/>
      <c r="H50" s="259"/>
      <c r="I50" s="259"/>
      <c r="J50" s="77"/>
      <c r="K50" s="258"/>
      <c r="L50" s="259"/>
      <c r="M50" s="259"/>
      <c r="N50" s="259"/>
      <c r="O50" s="259"/>
      <c r="P50" s="259"/>
      <c r="Q50" s="77"/>
      <c r="R50" s="258"/>
      <c r="S50" s="259"/>
      <c r="T50" s="259"/>
      <c r="U50" s="259"/>
      <c r="V50" s="259"/>
      <c r="W50" s="259"/>
      <c r="X50" s="76"/>
      <c r="Y50" s="258"/>
      <c r="Z50" s="259"/>
      <c r="AA50" s="259"/>
      <c r="AB50" s="259"/>
      <c r="AC50" s="259"/>
      <c r="AD50" s="259"/>
    </row>
    <row r="51" spans="1:31" x14ac:dyDescent="0.25">
      <c r="A51" s="226"/>
      <c r="B51" s="265"/>
      <c r="C51" s="17" t="s">
        <v>45</v>
      </c>
      <c r="D51" s="258"/>
      <c r="E51" s="259"/>
      <c r="F51" s="259"/>
      <c r="G51" s="259"/>
      <c r="H51" s="259"/>
      <c r="I51" s="259"/>
      <c r="J51" s="77"/>
      <c r="K51" s="258"/>
      <c r="L51" s="259"/>
      <c r="M51" s="259"/>
      <c r="N51" s="259"/>
      <c r="O51" s="259"/>
      <c r="P51" s="259"/>
      <c r="Q51" s="77"/>
      <c r="R51" s="258"/>
      <c r="S51" s="259"/>
      <c r="T51" s="259"/>
      <c r="U51" s="259"/>
      <c r="V51" s="259"/>
      <c r="W51" s="259"/>
      <c r="X51" s="76"/>
      <c r="Y51" s="258"/>
      <c r="Z51" s="259"/>
      <c r="AA51" s="259"/>
      <c r="AB51" s="259"/>
      <c r="AC51" s="259"/>
      <c r="AD51" s="259"/>
    </row>
    <row r="52" spans="1:31" x14ac:dyDescent="0.25">
      <c r="A52" s="226"/>
      <c r="B52" s="265"/>
      <c r="C52" s="19" t="s">
        <v>46</v>
      </c>
      <c r="D52" s="258"/>
      <c r="E52" s="259"/>
      <c r="F52" s="259"/>
      <c r="G52" s="259"/>
      <c r="H52" s="259"/>
      <c r="I52" s="259"/>
      <c r="J52" s="77"/>
      <c r="K52" s="258"/>
      <c r="L52" s="259"/>
      <c r="M52" s="259"/>
      <c r="N52" s="259"/>
      <c r="O52" s="259"/>
      <c r="P52" s="259"/>
      <c r="Q52" s="77"/>
      <c r="R52" s="258"/>
      <c r="S52" s="259"/>
      <c r="T52" s="259"/>
      <c r="U52" s="259"/>
      <c r="V52" s="259"/>
      <c r="W52" s="259"/>
      <c r="X52" s="76"/>
      <c r="Y52" s="258"/>
      <c r="Z52" s="259"/>
      <c r="AA52" s="259"/>
      <c r="AB52" s="259"/>
      <c r="AC52" s="259"/>
      <c r="AD52" s="259"/>
    </row>
    <row r="53" spans="1:31" x14ac:dyDescent="0.25">
      <c r="A53" s="226"/>
      <c r="B53" s="265"/>
      <c r="C53" s="17" t="s">
        <v>47</v>
      </c>
      <c r="D53" s="161">
        <v>260</v>
      </c>
      <c r="E53" s="182"/>
      <c r="F53" s="182"/>
      <c r="G53" s="182"/>
      <c r="H53" s="182"/>
      <c r="I53" s="182"/>
      <c r="J53" s="77"/>
      <c r="K53" s="161">
        <v>290</v>
      </c>
      <c r="L53" s="182"/>
      <c r="M53" s="182"/>
      <c r="N53" s="182"/>
      <c r="O53" s="182"/>
      <c r="P53" s="182"/>
      <c r="Q53" s="77"/>
      <c r="R53" s="161">
        <v>250</v>
      </c>
      <c r="S53" s="182"/>
      <c r="T53" s="182"/>
      <c r="U53" s="182"/>
      <c r="V53" s="182"/>
      <c r="W53" s="182"/>
      <c r="X53" s="76"/>
      <c r="Y53" s="161">
        <v>306</v>
      </c>
      <c r="Z53" s="182"/>
      <c r="AA53" s="182"/>
      <c r="AB53" s="182"/>
      <c r="AC53" s="182"/>
      <c r="AD53" s="182"/>
    </row>
    <row r="54" spans="1:31" ht="15" customHeight="1" x14ac:dyDescent="0.25">
      <c r="A54" s="226"/>
      <c r="B54" s="265"/>
      <c r="C54" s="262" t="s">
        <v>72</v>
      </c>
      <c r="D54" s="258">
        <v>240</v>
      </c>
      <c r="E54" s="259"/>
      <c r="F54" s="259"/>
      <c r="G54" s="259"/>
      <c r="H54" s="259"/>
      <c r="I54" s="259"/>
      <c r="J54" s="108"/>
      <c r="K54" s="258">
        <v>170</v>
      </c>
      <c r="L54" s="259"/>
      <c r="M54" s="259"/>
      <c r="N54" s="259"/>
      <c r="O54" s="259"/>
      <c r="P54" s="259"/>
      <c r="Q54" s="108"/>
      <c r="R54" s="258">
        <v>170</v>
      </c>
      <c r="S54" s="259"/>
      <c r="T54" s="259"/>
      <c r="U54" s="259"/>
      <c r="V54" s="259"/>
      <c r="W54" s="259"/>
      <c r="X54" s="108"/>
      <c r="Y54" s="258">
        <v>170</v>
      </c>
      <c r="Z54" s="259"/>
      <c r="AA54" s="259"/>
      <c r="AB54" s="259"/>
      <c r="AC54" s="259"/>
      <c r="AD54" s="259"/>
      <c r="AE54" s="39"/>
    </row>
    <row r="55" spans="1:31" ht="15.75" thickBot="1" x14ac:dyDescent="0.3">
      <c r="A55" s="227"/>
      <c r="B55" s="266"/>
      <c r="C55" s="263"/>
      <c r="D55" s="260"/>
      <c r="E55" s="261"/>
      <c r="F55" s="261"/>
      <c r="G55" s="261"/>
      <c r="H55" s="261"/>
      <c r="I55" s="261"/>
      <c r="J55" s="108"/>
      <c r="K55" s="260"/>
      <c r="L55" s="261"/>
      <c r="M55" s="261"/>
      <c r="N55" s="261"/>
      <c r="O55" s="261"/>
      <c r="P55" s="261"/>
      <c r="Q55" s="108"/>
      <c r="R55" s="260"/>
      <c r="S55" s="261"/>
      <c r="T55" s="261"/>
      <c r="U55" s="261"/>
      <c r="V55" s="261"/>
      <c r="W55" s="261"/>
      <c r="X55" s="108"/>
      <c r="Y55" s="260"/>
      <c r="Z55" s="261"/>
      <c r="AA55" s="261"/>
      <c r="AB55" s="261"/>
      <c r="AC55" s="261"/>
      <c r="AD55" s="261"/>
      <c r="AE55" s="39"/>
    </row>
    <row r="56" spans="1:31" x14ac:dyDescent="0.25">
      <c r="D56" s="110"/>
      <c r="E56" s="110"/>
      <c r="F56" s="110"/>
      <c r="G56" s="110"/>
      <c r="H56" s="110"/>
      <c r="I56" s="110"/>
      <c r="J56" s="77"/>
      <c r="K56" s="110"/>
      <c r="L56" s="110"/>
      <c r="M56" s="110"/>
      <c r="N56" s="110"/>
      <c r="O56" s="110"/>
      <c r="P56" s="110"/>
      <c r="Q56" s="77"/>
      <c r="R56" s="110"/>
      <c r="S56" s="110"/>
      <c r="T56" s="110"/>
      <c r="U56" s="110"/>
      <c r="V56" s="110"/>
      <c r="W56" s="110"/>
      <c r="X56" s="76"/>
      <c r="Y56" s="110"/>
      <c r="Z56" s="110"/>
      <c r="AA56" s="110"/>
      <c r="AB56" s="110"/>
      <c r="AC56" s="110"/>
      <c r="AD56" s="110"/>
    </row>
    <row r="57" spans="1:31" x14ac:dyDescent="0.25">
      <c r="D57" s="110"/>
      <c r="E57" s="110"/>
      <c r="F57" s="110"/>
      <c r="G57" s="110"/>
      <c r="H57" s="110"/>
      <c r="I57" s="110"/>
      <c r="J57" s="77"/>
      <c r="K57" s="110"/>
      <c r="L57" s="110"/>
      <c r="M57" s="110"/>
      <c r="N57" s="110"/>
      <c r="O57" s="110"/>
      <c r="P57" s="110"/>
      <c r="Q57" s="77"/>
      <c r="R57" s="110"/>
      <c r="S57" s="110"/>
      <c r="T57" s="110"/>
      <c r="U57" s="110"/>
      <c r="V57" s="110"/>
      <c r="W57" s="110"/>
      <c r="X57" s="76"/>
      <c r="Y57" s="110"/>
      <c r="Z57" s="110"/>
      <c r="AA57" s="110"/>
      <c r="AB57" s="110"/>
      <c r="AC57" s="110"/>
      <c r="AD57" s="110"/>
    </row>
    <row r="58" spans="1:31" x14ac:dyDescent="0.25">
      <c r="D58" s="110"/>
      <c r="E58" s="110"/>
      <c r="F58" s="110"/>
      <c r="G58" s="110"/>
      <c r="H58" s="110"/>
      <c r="I58" s="110"/>
      <c r="J58" s="77"/>
      <c r="K58" s="110"/>
      <c r="L58" s="110"/>
      <c r="M58" s="110"/>
      <c r="N58" s="110"/>
      <c r="O58" s="110"/>
      <c r="P58" s="110"/>
      <c r="Q58" s="77"/>
      <c r="R58" s="110"/>
      <c r="S58" s="110"/>
      <c r="T58" s="110"/>
      <c r="U58" s="110"/>
      <c r="V58" s="110"/>
      <c r="W58" s="110"/>
      <c r="X58" s="76"/>
      <c r="Y58" s="110"/>
      <c r="Z58" s="110"/>
      <c r="AA58" s="110"/>
      <c r="AB58" s="110"/>
      <c r="AC58" s="110"/>
      <c r="AD58" s="110"/>
    </row>
  </sheetData>
  <mergeCells count="289">
    <mergeCell ref="Y49:AD49"/>
    <mergeCell ref="D47:I47"/>
    <mergeCell ref="K47:P47"/>
    <mergeCell ref="R47:W47"/>
    <mergeCell ref="Y47:AD47"/>
    <mergeCell ref="E44:F44"/>
    <mergeCell ref="G44:I44"/>
    <mergeCell ref="L44:M44"/>
    <mergeCell ref="N44:P44"/>
    <mergeCell ref="S44:T44"/>
    <mergeCell ref="U44:W44"/>
    <mergeCell ref="D45:I45"/>
    <mergeCell ref="K45:P45"/>
    <mergeCell ref="Y45:AD45"/>
    <mergeCell ref="Z44:AA44"/>
    <mergeCell ref="AB44:AD44"/>
    <mergeCell ref="R45:W45"/>
    <mergeCell ref="R51:W51"/>
    <mergeCell ref="Y51:AD51"/>
    <mergeCell ref="D54:I55"/>
    <mergeCell ref="K54:P55"/>
    <mergeCell ref="R54:W55"/>
    <mergeCell ref="Y54:AD55"/>
    <mergeCell ref="D53:I53"/>
    <mergeCell ref="K53:P53"/>
    <mergeCell ref="R53:W53"/>
    <mergeCell ref="Y53:AD53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D52:I52"/>
    <mergeCell ref="K52:P52"/>
    <mergeCell ref="R52:W52"/>
    <mergeCell ref="Y52:AD52"/>
    <mergeCell ref="C54:C55"/>
    <mergeCell ref="D49:I49"/>
    <mergeCell ref="K49:P49"/>
    <mergeCell ref="R49:W49"/>
    <mergeCell ref="D51:I51"/>
    <mergeCell ref="K51:P51"/>
    <mergeCell ref="A37:A40"/>
    <mergeCell ref="B37:B40"/>
    <mergeCell ref="K37:L37"/>
    <mergeCell ref="M37:P37"/>
    <mergeCell ref="D40:E40"/>
    <mergeCell ref="F40:I40"/>
    <mergeCell ref="K40:L40"/>
    <mergeCell ref="M40:P40"/>
    <mergeCell ref="E43:F43"/>
    <mergeCell ref="G43:I43"/>
    <mergeCell ref="L43:M43"/>
    <mergeCell ref="N43:P43"/>
    <mergeCell ref="D41:I41"/>
    <mergeCell ref="K41:P41"/>
    <mergeCell ref="AB43:AD43"/>
    <mergeCell ref="S42:T42"/>
    <mergeCell ref="U42:W42"/>
    <mergeCell ref="Z42:AA42"/>
    <mergeCell ref="AB42:AD42"/>
    <mergeCell ref="A42:A44"/>
    <mergeCell ref="B42:B44"/>
    <mergeCell ref="E42:F42"/>
    <mergeCell ref="G42:I42"/>
    <mergeCell ref="L42:M42"/>
    <mergeCell ref="N42:P42"/>
    <mergeCell ref="S43:T43"/>
    <mergeCell ref="U43:W43"/>
    <mergeCell ref="Z43:AA43"/>
    <mergeCell ref="R41:W41"/>
    <mergeCell ref="Y41:AD41"/>
    <mergeCell ref="R40:S40"/>
    <mergeCell ref="T40:W40"/>
    <mergeCell ref="Y40:Z40"/>
    <mergeCell ref="AA40:AD40"/>
    <mergeCell ref="D38:E38"/>
    <mergeCell ref="F38:I38"/>
    <mergeCell ref="K38:L38"/>
    <mergeCell ref="M38:P38"/>
    <mergeCell ref="R38:S38"/>
    <mergeCell ref="T38:W38"/>
    <mergeCell ref="Y38:Z38"/>
    <mergeCell ref="AA38:AD38"/>
    <mergeCell ref="D39:E39"/>
    <mergeCell ref="F39:I39"/>
    <mergeCell ref="K39:L39"/>
    <mergeCell ref="M39:P39"/>
    <mergeCell ref="R39:S39"/>
    <mergeCell ref="T39:W39"/>
    <mergeCell ref="Y39:Z39"/>
    <mergeCell ref="AA39:AD39"/>
    <mergeCell ref="R37:S37"/>
    <mergeCell ref="T37:W37"/>
    <mergeCell ref="Y37:Z37"/>
    <mergeCell ref="AA37:AD37"/>
    <mergeCell ref="D37:E37"/>
    <mergeCell ref="F37:I37"/>
    <mergeCell ref="D36:I36"/>
    <mergeCell ref="K36:P36"/>
    <mergeCell ref="R36:W36"/>
    <mergeCell ref="Y36:AD36"/>
    <mergeCell ref="T34:U34"/>
    <mergeCell ref="V34:W34"/>
    <mergeCell ref="AA33:AB33"/>
    <mergeCell ref="AC33:AD33"/>
    <mergeCell ref="V35:W35"/>
    <mergeCell ref="AC35:AD35"/>
    <mergeCell ref="AA34:AB34"/>
    <mergeCell ref="AC34:AD34"/>
    <mergeCell ref="F33:G33"/>
    <mergeCell ref="H33:I33"/>
    <mergeCell ref="M33:N33"/>
    <mergeCell ref="O33:P33"/>
    <mergeCell ref="T33:U33"/>
    <mergeCell ref="V33:W33"/>
    <mergeCell ref="D35:G35"/>
    <mergeCell ref="K35:N35"/>
    <mergeCell ref="R35:U35"/>
    <mergeCell ref="Y35:AB35"/>
    <mergeCell ref="F32:G32"/>
    <mergeCell ref="H32:I32"/>
    <mergeCell ref="M32:N32"/>
    <mergeCell ref="O32:P32"/>
    <mergeCell ref="T32:U32"/>
    <mergeCell ref="V32:W32"/>
    <mergeCell ref="AA32:AB32"/>
    <mergeCell ref="AC32:AD32"/>
    <mergeCell ref="T31:U31"/>
    <mergeCell ref="V31:W31"/>
    <mergeCell ref="AA31:AB31"/>
    <mergeCell ref="AC31:AD31"/>
    <mergeCell ref="T30:U30"/>
    <mergeCell ref="V30:W30"/>
    <mergeCell ref="AA30:AB30"/>
    <mergeCell ref="AC30:AD30"/>
    <mergeCell ref="T29:U29"/>
    <mergeCell ref="V29:W29"/>
    <mergeCell ref="AA29:AB29"/>
    <mergeCell ref="AC29:AD29"/>
    <mergeCell ref="T28:U28"/>
    <mergeCell ref="V28:W28"/>
    <mergeCell ref="AA28:AB28"/>
    <mergeCell ref="AC28:AD28"/>
    <mergeCell ref="A28:A35"/>
    <mergeCell ref="B28:B35"/>
    <mergeCell ref="F28:G28"/>
    <mergeCell ref="H28:I28"/>
    <mergeCell ref="M28:N28"/>
    <mergeCell ref="O28:P28"/>
    <mergeCell ref="F31:G31"/>
    <mergeCell ref="H31:I31"/>
    <mergeCell ref="M31:N31"/>
    <mergeCell ref="O31:P31"/>
    <mergeCell ref="F30:G30"/>
    <mergeCell ref="H30:I30"/>
    <mergeCell ref="M30:N30"/>
    <mergeCell ref="O30:P30"/>
    <mergeCell ref="F34:G34"/>
    <mergeCell ref="H34:I34"/>
    <mergeCell ref="M34:N34"/>
    <mergeCell ref="O34:P34"/>
    <mergeCell ref="F29:G29"/>
    <mergeCell ref="H29:I29"/>
    <mergeCell ref="M29:N29"/>
    <mergeCell ref="O29:P29"/>
    <mergeCell ref="H35:I35"/>
    <mergeCell ref="O35:P35"/>
    <mergeCell ref="F24:G24"/>
    <mergeCell ref="M24:N24"/>
    <mergeCell ref="T24:U24"/>
    <mergeCell ref="AA24:AB24"/>
    <mergeCell ref="D27:I27"/>
    <mergeCell ref="K27:P27"/>
    <mergeCell ref="R27:W27"/>
    <mergeCell ref="Y27:AD27"/>
    <mergeCell ref="F26:G26"/>
    <mergeCell ref="M26:N26"/>
    <mergeCell ref="T26:U26"/>
    <mergeCell ref="AA26:AB26"/>
    <mergeCell ref="T25:U25"/>
    <mergeCell ref="AA25:AB25"/>
    <mergeCell ref="F20:G20"/>
    <mergeCell ref="M20:N20"/>
    <mergeCell ref="T20:U20"/>
    <mergeCell ref="AA20:AB20"/>
    <mergeCell ref="F23:G23"/>
    <mergeCell ref="M23:N23"/>
    <mergeCell ref="T23:U23"/>
    <mergeCell ref="AA23:AB23"/>
    <mergeCell ref="F22:G22"/>
    <mergeCell ref="M22:N22"/>
    <mergeCell ref="T22:U22"/>
    <mergeCell ref="AA22:AB22"/>
    <mergeCell ref="F19:G19"/>
    <mergeCell ref="M19:N19"/>
    <mergeCell ref="T19:U19"/>
    <mergeCell ref="AA19:AB19"/>
    <mergeCell ref="F17:G17"/>
    <mergeCell ref="M17:N17"/>
    <mergeCell ref="T17:U17"/>
    <mergeCell ref="AA17:AB17"/>
    <mergeCell ref="A16:A26"/>
    <mergeCell ref="B16:B26"/>
    <mergeCell ref="F16:G16"/>
    <mergeCell ref="M16:N16"/>
    <mergeCell ref="T16:U16"/>
    <mergeCell ref="AA16:AB16"/>
    <mergeCell ref="F18:G18"/>
    <mergeCell ref="M18:N18"/>
    <mergeCell ref="T18:U18"/>
    <mergeCell ref="AA18:AB18"/>
    <mergeCell ref="F21:G21"/>
    <mergeCell ref="M21:N21"/>
    <mergeCell ref="T21:U21"/>
    <mergeCell ref="AA21:AB21"/>
    <mergeCell ref="F25:G25"/>
    <mergeCell ref="M25:N25"/>
    <mergeCell ref="D15:I15"/>
    <mergeCell ref="K15:P15"/>
    <mergeCell ref="R15:W15"/>
    <mergeCell ref="Y15:AD15"/>
    <mergeCell ref="D13:I13"/>
    <mergeCell ref="K13:P13"/>
    <mergeCell ref="R13:W13"/>
    <mergeCell ref="Y13:AD13"/>
    <mergeCell ref="A12:A14"/>
    <mergeCell ref="B12:B14"/>
    <mergeCell ref="D12:I12"/>
    <mergeCell ref="K12:P12"/>
    <mergeCell ref="R12:W12"/>
    <mergeCell ref="Y12:AD12"/>
    <mergeCell ref="D14:I14"/>
    <mergeCell ref="K14:P14"/>
    <mergeCell ref="R14:W14"/>
    <mergeCell ref="Y14:AD14"/>
    <mergeCell ref="A8:A10"/>
    <mergeCell ref="B8:B10"/>
    <mergeCell ref="D8:I8"/>
    <mergeCell ref="K8:P8"/>
    <mergeCell ref="R8:W8"/>
    <mergeCell ref="Y8:AD8"/>
    <mergeCell ref="D10:I10"/>
    <mergeCell ref="K10:P10"/>
    <mergeCell ref="R10:W10"/>
    <mergeCell ref="Y10:AD10"/>
    <mergeCell ref="D2:I2"/>
    <mergeCell ref="K2:P2"/>
    <mergeCell ref="R2:W2"/>
    <mergeCell ref="Y2:AD2"/>
    <mergeCell ref="D11:I11"/>
    <mergeCell ref="K11:P11"/>
    <mergeCell ref="R11:W11"/>
    <mergeCell ref="Y11:AD11"/>
    <mergeCell ref="D9:I9"/>
    <mergeCell ref="K9:P9"/>
    <mergeCell ref="R9:W9"/>
    <mergeCell ref="Y9:AD9"/>
    <mergeCell ref="D7:I7"/>
    <mergeCell ref="K7:P7"/>
    <mergeCell ref="R7:W7"/>
    <mergeCell ref="Y7:AD7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D4:I4"/>
    <mergeCell ref="K4:P4"/>
    <mergeCell ref="R4:W4"/>
    <mergeCell ref="Y4:AD4"/>
    <mergeCell ref="D5:I5"/>
    <mergeCell ref="K5:P5"/>
    <mergeCell ref="R5:W5"/>
    <mergeCell ref="Y5:AD5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S19" sqref="S19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54" t="s">
        <v>207</v>
      </c>
      <c r="B5" s="154"/>
      <c r="C5" s="154"/>
      <c r="E5" s="154" t="s">
        <v>204</v>
      </c>
      <c r="F5" s="154"/>
      <c r="G5" s="154"/>
      <c r="I5" s="154" t="s">
        <v>205</v>
      </c>
      <c r="J5" s="154"/>
      <c r="K5" s="154"/>
      <c r="M5" s="154" t="s">
        <v>206</v>
      </c>
      <c r="N5" s="154"/>
      <c r="O5" s="154"/>
      <c r="Q5" s="154" t="s">
        <v>161</v>
      </c>
      <c r="R5" s="154"/>
      <c r="S5" s="154"/>
      <c r="U5" s="154"/>
      <c r="V5" s="154"/>
      <c r="W5" s="154"/>
    </row>
    <row r="6" spans="1:23" x14ac:dyDescent="0.25">
      <c r="A6" s="5" t="s">
        <v>91</v>
      </c>
      <c r="B6" s="5" t="s">
        <v>74</v>
      </c>
      <c r="C6" s="5" t="s">
        <v>90</v>
      </c>
      <c r="E6" s="5" t="s">
        <v>91</v>
      </c>
      <c r="F6" s="5" t="s">
        <v>74</v>
      </c>
      <c r="G6" s="5" t="s">
        <v>90</v>
      </c>
      <c r="I6" s="5" t="s">
        <v>91</v>
      </c>
      <c r="J6" s="5" t="s">
        <v>74</v>
      </c>
      <c r="K6" s="5" t="s">
        <v>90</v>
      </c>
      <c r="M6" s="5" t="s">
        <v>91</v>
      </c>
      <c r="N6" s="5" t="s">
        <v>74</v>
      </c>
      <c r="O6" s="5" t="s">
        <v>90</v>
      </c>
      <c r="Q6" s="5" t="s">
        <v>91</v>
      </c>
      <c r="R6" s="5" t="s">
        <v>74</v>
      </c>
      <c r="S6" s="5" t="s">
        <v>90</v>
      </c>
      <c r="U6" s="5"/>
      <c r="V6" s="5"/>
      <c r="W6" s="5"/>
    </row>
    <row r="7" spans="1:23" x14ac:dyDescent="0.25">
      <c r="A7" s="5">
        <v>1</v>
      </c>
      <c r="B7" s="5">
        <v>2009</v>
      </c>
      <c r="C7" s="67">
        <v>3.5</v>
      </c>
      <c r="E7" s="5">
        <v>1</v>
      </c>
      <c r="F7" s="5">
        <v>2009</v>
      </c>
      <c r="G7" s="67">
        <v>0.9</v>
      </c>
      <c r="I7" s="5">
        <v>1</v>
      </c>
      <c r="J7" s="5">
        <v>2009</v>
      </c>
      <c r="K7" s="5">
        <v>2.56</v>
      </c>
      <c r="M7" s="5">
        <v>1</v>
      </c>
      <c r="N7" s="5">
        <v>2009</v>
      </c>
      <c r="O7" s="5">
        <v>5.2</v>
      </c>
      <c r="Q7" s="5">
        <v>1</v>
      </c>
      <c r="R7" s="5">
        <v>2009</v>
      </c>
      <c r="S7" s="5">
        <v>2.52</v>
      </c>
      <c r="U7" s="5"/>
      <c r="V7" s="5"/>
      <c r="W7" s="5"/>
    </row>
    <row r="8" spans="1:23" x14ac:dyDescent="0.25">
      <c r="A8" s="5">
        <v>2</v>
      </c>
      <c r="B8" s="5">
        <v>2010</v>
      </c>
      <c r="C8" s="67">
        <v>3</v>
      </c>
      <c r="E8" s="5">
        <v>2</v>
      </c>
      <c r="F8" s="5">
        <v>2010</v>
      </c>
      <c r="G8" s="67">
        <v>2.06</v>
      </c>
      <c r="I8" s="5">
        <v>2</v>
      </c>
      <c r="J8" s="5">
        <v>2010</v>
      </c>
      <c r="K8" s="67">
        <v>3.1</v>
      </c>
      <c r="M8" s="5">
        <v>2</v>
      </c>
      <c r="N8" s="5">
        <v>2010</v>
      </c>
      <c r="O8" s="5">
        <v>7.1</v>
      </c>
      <c r="Q8" s="5">
        <v>2</v>
      </c>
      <c r="R8" s="5">
        <v>2010</v>
      </c>
      <c r="S8" s="5">
        <v>3.2</v>
      </c>
      <c r="U8" s="5"/>
      <c r="V8" s="5"/>
      <c r="W8" s="5"/>
    </row>
    <row r="9" spans="1:23" x14ac:dyDescent="0.25">
      <c r="A9" s="5">
        <v>3</v>
      </c>
      <c r="B9" s="5">
        <v>2011</v>
      </c>
      <c r="C9" s="67">
        <v>5.03</v>
      </c>
      <c r="E9" s="5">
        <v>3</v>
      </c>
      <c r="F9" s="5">
        <v>2011</v>
      </c>
      <c r="G9" s="67">
        <v>1.9</v>
      </c>
      <c r="I9" s="5">
        <v>3</v>
      </c>
      <c r="J9" s="5">
        <v>2011</v>
      </c>
      <c r="K9" s="67">
        <v>2.67</v>
      </c>
      <c r="M9" s="5">
        <v>3</v>
      </c>
      <c r="N9" s="5">
        <v>2011</v>
      </c>
      <c r="O9" s="5">
        <v>7.35</v>
      </c>
      <c r="Q9" s="5">
        <v>3</v>
      </c>
      <c r="R9" s="5">
        <v>2011</v>
      </c>
      <c r="S9" s="5">
        <v>3.05</v>
      </c>
      <c r="U9" s="5"/>
      <c r="V9" s="5"/>
      <c r="W9" s="5"/>
    </row>
    <row r="10" spans="1:23" x14ac:dyDescent="0.25">
      <c r="A10" s="5">
        <v>4</v>
      </c>
      <c r="B10" s="5">
        <v>2012</v>
      </c>
      <c r="C10" s="67">
        <v>3.9</v>
      </c>
      <c r="E10" s="5">
        <v>4</v>
      </c>
      <c r="F10" s="5">
        <v>2012</v>
      </c>
      <c r="G10" s="67">
        <v>1.1000000000000001</v>
      </c>
      <c r="I10" s="5">
        <v>4</v>
      </c>
      <c r="J10" s="5">
        <v>2012</v>
      </c>
      <c r="K10" s="67">
        <v>2.2999999999999998</v>
      </c>
      <c r="M10" s="5">
        <v>4</v>
      </c>
      <c r="N10" s="5">
        <v>2012</v>
      </c>
      <c r="O10" s="5">
        <v>6.2</v>
      </c>
      <c r="Q10" s="5">
        <v>4</v>
      </c>
      <c r="R10" s="5">
        <v>2012</v>
      </c>
      <c r="S10" s="5">
        <v>2.8</v>
      </c>
      <c r="U10" s="5"/>
      <c r="V10" s="5"/>
      <c r="W10" s="5"/>
    </row>
    <row r="11" spans="1:23" x14ac:dyDescent="0.25">
      <c r="A11" s="5">
        <v>5</v>
      </c>
      <c r="B11" s="5">
        <v>2013</v>
      </c>
      <c r="C11" s="67">
        <v>5.4</v>
      </c>
      <c r="E11" s="5">
        <v>5</v>
      </c>
      <c r="F11" s="5">
        <v>2013</v>
      </c>
      <c r="G11" s="67">
        <v>2.13</v>
      </c>
      <c r="I11" s="5">
        <v>5</v>
      </c>
      <c r="J11" s="5">
        <v>2013</v>
      </c>
      <c r="K11" s="67">
        <v>3.05</v>
      </c>
      <c r="M11" s="5">
        <v>5</v>
      </c>
      <c r="N11" s="5">
        <v>2013</v>
      </c>
      <c r="O11" s="5">
        <v>6.8</v>
      </c>
      <c r="Q11" s="5">
        <v>5</v>
      </c>
      <c r="R11" s="5">
        <v>2013</v>
      </c>
      <c r="S11" s="5">
        <v>3.6</v>
      </c>
      <c r="U11" s="5"/>
      <c r="V11" s="5"/>
      <c r="W11" s="5"/>
    </row>
    <row r="12" spans="1:23" x14ac:dyDescent="0.25">
      <c r="A12" s="5">
        <v>6</v>
      </c>
      <c r="B12" s="5">
        <v>2014</v>
      </c>
      <c r="C12" s="67">
        <v>4</v>
      </c>
      <c r="E12" s="5">
        <v>6</v>
      </c>
      <c r="F12" s="5">
        <v>2014</v>
      </c>
      <c r="G12" s="67">
        <v>2.8</v>
      </c>
      <c r="I12" s="5">
        <v>6</v>
      </c>
      <c r="J12" s="5">
        <v>2014</v>
      </c>
      <c r="K12" s="67">
        <v>2.6</v>
      </c>
      <c r="M12" s="5">
        <v>6</v>
      </c>
      <c r="N12" s="5">
        <v>2014</v>
      </c>
      <c r="O12" s="5">
        <v>7.86</v>
      </c>
      <c r="Q12" s="5">
        <v>6</v>
      </c>
      <c r="R12" s="5">
        <v>2014</v>
      </c>
      <c r="S12" s="5">
        <v>2.88</v>
      </c>
      <c r="U12" s="5"/>
      <c r="V12" s="5"/>
      <c r="W12" s="5"/>
    </row>
    <row r="13" spans="1:23" x14ac:dyDescent="0.25">
      <c r="A13" s="5">
        <v>7</v>
      </c>
      <c r="B13" s="5">
        <v>2015</v>
      </c>
      <c r="C13" s="67">
        <v>5</v>
      </c>
      <c r="E13" s="5">
        <v>7</v>
      </c>
      <c r="F13" s="5">
        <v>2015</v>
      </c>
      <c r="G13" s="67">
        <v>1.35</v>
      </c>
      <c r="I13" s="5">
        <v>7</v>
      </c>
      <c r="J13" s="5">
        <v>2015</v>
      </c>
      <c r="K13" s="67">
        <v>3.15</v>
      </c>
      <c r="M13" s="5">
        <v>7</v>
      </c>
      <c r="N13" s="5">
        <v>2015</v>
      </c>
      <c r="O13" s="5">
        <v>8.1</v>
      </c>
      <c r="Q13" s="5">
        <v>7</v>
      </c>
      <c r="R13" s="5">
        <v>2015</v>
      </c>
      <c r="S13" s="5">
        <v>3.4</v>
      </c>
      <c r="U13" s="5"/>
      <c r="V13" s="5"/>
      <c r="W13" s="5"/>
    </row>
    <row r="14" spans="1:23" x14ac:dyDescent="0.25">
      <c r="A14" s="5">
        <v>8</v>
      </c>
      <c r="B14" s="5">
        <v>2016</v>
      </c>
      <c r="C14" s="67">
        <v>4.45</v>
      </c>
      <c r="E14" s="5">
        <v>8</v>
      </c>
      <c r="F14" s="5">
        <v>2016</v>
      </c>
      <c r="G14" s="67">
        <v>1.5</v>
      </c>
      <c r="I14" s="5">
        <v>8</v>
      </c>
      <c r="J14" s="5">
        <v>2016</v>
      </c>
      <c r="K14" s="67">
        <v>3.45</v>
      </c>
      <c r="M14" s="5">
        <v>8</v>
      </c>
      <c r="N14" s="5">
        <v>2016</v>
      </c>
      <c r="O14" s="5">
        <v>7.8</v>
      </c>
      <c r="Q14" s="5">
        <v>8</v>
      </c>
      <c r="R14" s="5">
        <v>2016</v>
      </c>
      <c r="S14" s="5">
        <v>3.26</v>
      </c>
      <c r="U14" s="5"/>
      <c r="V14" s="5"/>
      <c r="W14" s="5"/>
    </row>
    <row r="15" spans="1:23" x14ac:dyDescent="0.25">
      <c r="A15" s="5">
        <v>9</v>
      </c>
      <c r="B15" s="5">
        <v>2017</v>
      </c>
      <c r="C15" s="67">
        <v>6</v>
      </c>
      <c r="E15" s="5">
        <v>9</v>
      </c>
      <c r="F15" s="5">
        <v>2017</v>
      </c>
      <c r="G15" s="67">
        <v>1.88</v>
      </c>
      <c r="I15" s="5">
        <v>9</v>
      </c>
      <c r="J15" s="5">
        <v>2017</v>
      </c>
      <c r="K15" s="67">
        <v>2.6</v>
      </c>
      <c r="M15" s="5">
        <v>9</v>
      </c>
      <c r="N15" s="5">
        <v>2017</v>
      </c>
      <c r="O15" s="5">
        <v>7.96</v>
      </c>
      <c r="Q15" s="5">
        <v>9</v>
      </c>
      <c r="R15" s="5">
        <v>2017</v>
      </c>
      <c r="S15" s="5">
        <v>3.4</v>
      </c>
      <c r="U15" s="5"/>
      <c r="V15" s="5"/>
      <c r="W15" s="5"/>
    </row>
    <row r="16" spans="1:23" x14ac:dyDescent="0.25">
      <c r="A16" s="5">
        <v>10</v>
      </c>
      <c r="B16" s="5">
        <v>2018</v>
      </c>
      <c r="C16" s="67">
        <v>4.3499999999999996</v>
      </c>
      <c r="E16" s="5">
        <v>10</v>
      </c>
      <c r="F16" s="5">
        <v>2018</v>
      </c>
      <c r="G16" s="67">
        <v>2.84</v>
      </c>
      <c r="I16" s="5">
        <v>10</v>
      </c>
      <c r="J16" s="5">
        <v>2018</v>
      </c>
      <c r="K16" s="67">
        <v>2.76</v>
      </c>
      <c r="M16" s="5">
        <v>10</v>
      </c>
      <c r="N16" s="5">
        <v>2018</v>
      </c>
      <c r="O16" s="5">
        <v>9.6</v>
      </c>
      <c r="Q16" s="5">
        <v>10</v>
      </c>
      <c r="R16" s="5">
        <v>2018</v>
      </c>
      <c r="S16" s="5">
        <v>3.2</v>
      </c>
      <c r="U16" s="5"/>
      <c r="V16" s="5"/>
      <c r="W16" s="5"/>
    </row>
    <row r="17" spans="1:23" x14ac:dyDescent="0.25">
      <c r="A17">
        <v>11</v>
      </c>
      <c r="B17">
        <v>2019</v>
      </c>
      <c r="C17" s="67">
        <v>6.2</v>
      </c>
      <c r="E17">
        <v>11</v>
      </c>
      <c r="F17" s="5">
        <v>2019</v>
      </c>
      <c r="G17" s="67">
        <v>2.9</v>
      </c>
      <c r="I17">
        <v>11</v>
      </c>
      <c r="J17">
        <v>2019</v>
      </c>
      <c r="K17" s="67">
        <v>2.6</v>
      </c>
      <c r="M17">
        <v>11</v>
      </c>
      <c r="N17" s="5">
        <v>2019</v>
      </c>
      <c r="O17">
        <v>9.1999999999999993</v>
      </c>
      <c r="Q17">
        <v>11</v>
      </c>
      <c r="R17" s="5">
        <v>2019</v>
      </c>
      <c r="S17">
        <v>3.4</v>
      </c>
    </row>
    <row r="18" spans="1:23" x14ac:dyDescent="0.25">
      <c r="C18" s="120">
        <f>_xlfn.STDEV.P(C7:C17)/AVERAGE(C7:C17)</f>
        <v>0.20844173133841601</v>
      </c>
      <c r="G18" s="120">
        <f>_xlfn.STDEV.P(G7:G17)/AVERAGE(G7:G17)</f>
        <v>0.34215576626828226</v>
      </c>
      <c r="K18" s="120">
        <f>_xlfn.STDEV.P(K7:K17)/AVERAGE(K7:K17)</f>
        <v>0.11499830146075071</v>
      </c>
      <c r="O18" s="120">
        <f>_xlfn.STDEV.P(O7:O17)/AVERAGE(O7:O17)</f>
        <v>0.15802268906130076</v>
      </c>
      <c r="S18" s="120">
        <f>_xlfn.STDEV.P(S7:S17)/AVERAGE(S7:S17)</f>
        <v>9.5984910246184746E-2</v>
      </c>
    </row>
    <row r="20" spans="1:23" x14ac:dyDescent="0.25">
      <c r="A20" s="154"/>
      <c r="B20" s="154"/>
      <c r="C20" s="154"/>
      <c r="D20" s="5"/>
      <c r="E20" s="154"/>
      <c r="F20" s="154"/>
      <c r="G20" s="154"/>
      <c r="H20" s="5"/>
      <c r="I20" s="154"/>
      <c r="J20" s="154"/>
      <c r="K20" s="154"/>
      <c r="L20" s="5"/>
      <c r="M20" s="154"/>
      <c r="N20" s="154"/>
      <c r="O20" s="154"/>
      <c r="P20" s="5"/>
      <c r="Q20" s="154"/>
      <c r="R20" s="154"/>
      <c r="S20" s="154"/>
      <c r="T20" s="5"/>
      <c r="U20" s="154"/>
      <c r="V20" s="154"/>
      <c r="W20" s="154"/>
    </row>
    <row r="21" spans="1:2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6" t="s">
        <v>337</v>
      </c>
      <c r="C22" s="5"/>
      <c r="D22" s="5"/>
      <c r="E22" s="5"/>
      <c r="F22" s="5"/>
      <c r="G22" s="5"/>
      <c r="H22" s="5"/>
      <c r="I22" s="5"/>
      <c r="J22" s="5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/>
      <c r="D23" s="5" t="s">
        <v>310</v>
      </c>
      <c r="E23" s="5" t="s">
        <v>309</v>
      </c>
      <c r="F23" s="5" t="s">
        <v>308</v>
      </c>
      <c r="G23" s="5" t="s">
        <v>307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 t="s">
        <v>306</v>
      </c>
      <c r="C24" s="5"/>
      <c r="D24" s="5" t="s">
        <v>301</v>
      </c>
      <c r="E24" s="5" t="s">
        <v>297</v>
      </c>
      <c r="F24" s="5" t="s">
        <v>298</v>
      </c>
      <c r="G24" s="5" t="s">
        <v>300</v>
      </c>
      <c r="H24" s="112">
        <f>AVERAGE(S18,C18,K18,O18)</f>
        <v>0.14436190802666307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 t="s">
        <v>305</v>
      </c>
      <c r="C25" s="5"/>
      <c r="D25" s="5" t="s">
        <v>299</v>
      </c>
      <c r="E25" s="5" t="s">
        <v>297</v>
      </c>
      <c r="F25" s="5" t="s">
        <v>298</v>
      </c>
      <c r="G25" s="5" t="s">
        <v>297</v>
      </c>
      <c r="H25" s="112">
        <f>AVERAGE(G18,C18,K18,C18)</f>
        <v>0.21850938260146627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5" spans="1:23" x14ac:dyDescent="0.25">
      <c r="A35" s="154"/>
      <c r="B35" s="154"/>
      <c r="C35" s="154"/>
      <c r="D35" s="5"/>
      <c r="E35" s="154"/>
      <c r="F35" s="154"/>
      <c r="G35" s="154"/>
      <c r="H35" s="5"/>
      <c r="I35" s="154"/>
      <c r="J35" s="154"/>
      <c r="K35" s="154"/>
      <c r="L35" s="5"/>
      <c r="M35" s="154"/>
      <c r="N35" s="154"/>
      <c r="O35" s="154"/>
      <c r="P35" s="5"/>
      <c r="Q35" s="154"/>
      <c r="R35" s="154"/>
      <c r="S35" s="154"/>
      <c r="T35" s="5"/>
      <c r="U35" s="154"/>
      <c r="V35" s="154"/>
      <c r="W35" s="154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50" spans="1:23" x14ac:dyDescent="0.25">
      <c r="A50" s="154" t="s">
        <v>92</v>
      </c>
      <c r="B50" s="154"/>
      <c r="C50" s="154"/>
      <c r="D50" s="5"/>
      <c r="E50" s="154" t="s">
        <v>92</v>
      </c>
      <c r="F50" s="154"/>
      <c r="G50" s="154"/>
      <c r="H50" s="5"/>
      <c r="I50" s="154" t="s">
        <v>92</v>
      </c>
      <c r="J50" s="154"/>
      <c r="K50" s="154"/>
      <c r="L50" s="5"/>
      <c r="M50" s="154" t="s">
        <v>92</v>
      </c>
      <c r="N50" s="154"/>
      <c r="O50" s="154"/>
      <c r="P50" s="5"/>
      <c r="Q50" s="154" t="s">
        <v>92</v>
      </c>
      <c r="R50" s="154"/>
      <c r="S50" s="154"/>
      <c r="T50" s="5"/>
      <c r="U50" s="154" t="s">
        <v>92</v>
      </c>
      <c r="V50" s="154"/>
      <c r="W50" s="154"/>
    </row>
    <row r="51" spans="1:23" x14ac:dyDescent="0.25">
      <c r="A51" s="5" t="s">
        <v>91</v>
      </c>
      <c r="B51" s="5" t="s">
        <v>74</v>
      </c>
      <c r="C51" s="5" t="s">
        <v>90</v>
      </c>
      <c r="D51" s="5"/>
      <c r="E51" s="5" t="s">
        <v>91</v>
      </c>
      <c r="F51" s="5" t="s">
        <v>74</v>
      </c>
      <c r="G51" s="5" t="s">
        <v>90</v>
      </c>
      <c r="H51" s="5"/>
      <c r="I51" s="5" t="s">
        <v>91</v>
      </c>
      <c r="J51" s="5" t="s">
        <v>74</v>
      </c>
      <c r="K51" s="5" t="s">
        <v>90</v>
      </c>
      <c r="L51" s="5"/>
      <c r="M51" s="5" t="s">
        <v>91</v>
      </c>
      <c r="N51" s="5" t="s">
        <v>74</v>
      </c>
      <c r="O51" s="5" t="s">
        <v>90</v>
      </c>
      <c r="P51" s="5"/>
      <c r="Q51" s="5" t="s">
        <v>91</v>
      </c>
      <c r="R51" s="5" t="s">
        <v>74</v>
      </c>
      <c r="S51" s="5" t="s">
        <v>90</v>
      </c>
      <c r="T51" s="5"/>
      <c r="U51" s="5" t="s">
        <v>91</v>
      </c>
      <c r="V51" s="5" t="s">
        <v>74</v>
      </c>
      <c r="W51" s="5" t="s">
        <v>90</v>
      </c>
    </row>
    <row r="52" spans="1:23" x14ac:dyDescent="0.25">
      <c r="A52" s="5">
        <v>1</v>
      </c>
      <c r="B52" s="5"/>
      <c r="C52" s="5"/>
      <c r="D52" s="5"/>
      <c r="E52" s="5">
        <v>1</v>
      </c>
      <c r="F52" s="5"/>
      <c r="G52" s="5"/>
      <c r="H52" s="5"/>
      <c r="I52" s="5">
        <v>1</v>
      </c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</row>
    <row r="53" spans="1:23" x14ac:dyDescent="0.25">
      <c r="A53" s="5">
        <v>2</v>
      </c>
      <c r="B53" s="5"/>
      <c r="C53" s="5"/>
      <c r="D53" s="5"/>
      <c r="E53" s="5">
        <v>2</v>
      </c>
      <c r="F53" s="5"/>
      <c r="G53" s="5"/>
      <c r="H53" s="5"/>
      <c r="I53" s="5">
        <v>2</v>
      </c>
      <c r="J53" s="5"/>
      <c r="K53" s="5"/>
      <c r="L53" s="5"/>
      <c r="M53" s="5">
        <v>2</v>
      </c>
      <c r="N53" s="5"/>
      <c r="O53" s="5"/>
      <c r="P53" s="5"/>
      <c r="Q53" s="5">
        <v>2</v>
      </c>
      <c r="R53" s="5"/>
      <c r="S53" s="5"/>
      <c r="T53" s="5"/>
      <c r="U53" s="5">
        <v>2</v>
      </c>
      <c r="V53" s="5"/>
      <c r="W53" s="5"/>
    </row>
    <row r="54" spans="1:23" x14ac:dyDescent="0.25">
      <c r="A54" s="5">
        <v>3</v>
      </c>
      <c r="B54" s="5"/>
      <c r="C54" s="5"/>
      <c r="D54" s="5"/>
      <c r="E54" s="5">
        <v>3</v>
      </c>
      <c r="F54" s="5"/>
      <c r="G54" s="5"/>
      <c r="H54" s="5"/>
      <c r="I54" s="5">
        <v>3</v>
      </c>
      <c r="J54" s="5"/>
      <c r="K54" s="5"/>
      <c r="L54" s="5"/>
      <c r="M54" s="5">
        <v>3</v>
      </c>
      <c r="N54" s="5"/>
      <c r="O54" s="5"/>
      <c r="P54" s="5"/>
      <c r="Q54" s="5">
        <v>3</v>
      </c>
      <c r="R54" s="5"/>
      <c r="S54" s="5"/>
      <c r="T54" s="5"/>
      <c r="U54" s="5">
        <v>3</v>
      </c>
      <c r="V54" s="5"/>
      <c r="W54" s="5"/>
    </row>
    <row r="55" spans="1:23" x14ac:dyDescent="0.25">
      <c r="A55" s="5">
        <v>4</v>
      </c>
      <c r="B55" s="5"/>
      <c r="C55" s="5"/>
      <c r="D55" s="5"/>
      <c r="E55" s="5">
        <v>4</v>
      </c>
      <c r="F55" s="5"/>
      <c r="G55" s="5"/>
      <c r="H55" s="5"/>
      <c r="I55" s="5">
        <v>4</v>
      </c>
      <c r="J55" s="5"/>
      <c r="K55" s="5"/>
      <c r="L55" s="5"/>
      <c r="M55" s="5">
        <v>4</v>
      </c>
      <c r="N55" s="5"/>
      <c r="O55" s="5"/>
      <c r="P55" s="5"/>
      <c r="Q55" s="5">
        <v>4</v>
      </c>
      <c r="R55" s="5"/>
      <c r="S55" s="5"/>
      <c r="T55" s="5"/>
      <c r="U55" s="5">
        <v>4</v>
      </c>
      <c r="V55" s="5"/>
      <c r="W55" s="5"/>
    </row>
    <row r="56" spans="1:23" x14ac:dyDescent="0.25">
      <c r="A56" s="5">
        <v>5</v>
      </c>
      <c r="B56" s="5"/>
      <c r="C56" s="5"/>
      <c r="D56" s="5"/>
      <c r="E56" s="5">
        <v>5</v>
      </c>
      <c r="F56" s="5"/>
      <c r="G56" s="5"/>
      <c r="H56" s="5"/>
      <c r="I56" s="5">
        <v>5</v>
      </c>
      <c r="J56" s="5"/>
      <c r="K56" s="5"/>
      <c r="L56" s="5"/>
      <c r="M56" s="5">
        <v>5</v>
      </c>
      <c r="N56" s="5"/>
      <c r="O56" s="5"/>
      <c r="P56" s="5"/>
      <c r="Q56" s="5">
        <v>5</v>
      </c>
      <c r="R56" s="5"/>
      <c r="S56" s="5"/>
      <c r="T56" s="5"/>
      <c r="U56" s="5">
        <v>5</v>
      </c>
      <c r="V56" s="5"/>
      <c r="W56" s="5"/>
    </row>
    <row r="57" spans="1:23" x14ac:dyDescent="0.25">
      <c r="A57" s="5">
        <v>6</v>
      </c>
      <c r="B57" s="5"/>
      <c r="C57" s="5"/>
      <c r="D57" s="5"/>
      <c r="E57" s="5">
        <v>6</v>
      </c>
      <c r="F57" s="5"/>
      <c r="G57" s="5"/>
      <c r="H57" s="5"/>
      <c r="I57" s="5">
        <v>6</v>
      </c>
      <c r="J57" s="5"/>
      <c r="K57" s="5"/>
      <c r="L57" s="5"/>
      <c r="M57" s="5">
        <v>6</v>
      </c>
      <c r="N57" s="5"/>
      <c r="O57" s="5"/>
      <c r="P57" s="5"/>
      <c r="Q57" s="5">
        <v>6</v>
      </c>
      <c r="R57" s="5"/>
      <c r="S57" s="5"/>
      <c r="T57" s="5"/>
      <c r="U57" s="5">
        <v>6</v>
      </c>
      <c r="V57" s="5"/>
      <c r="W57" s="5"/>
    </row>
    <row r="58" spans="1:23" x14ac:dyDescent="0.25">
      <c r="A58" s="5">
        <v>7</v>
      </c>
      <c r="B58" s="5"/>
      <c r="C58" s="5"/>
      <c r="D58" s="5"/>
      <c r="E58" s="5">
        <v>7</v>
      </c>
      <c r="F58" s="5"/>
      <c r="G58" s="5"/>
      <c r="H58" s="5"/>
      <c r="I58" s="5">
        <v>7</v>
      </c>
      <c r="J58" s="5"/>
      <c r="K58" s="5"/>
      <c r="L58" s="5"/>
      <c r="M58" s="5">
        <v>7</v>
      </c>
      <c r="N58" s="5"/>
      <c r="O58" s="5"/>
      <c r="P58" s="5"/>
      <c r="Q58" s="5">
        <v>7</v>
      </c>
      <c r="R58" s="5"/>
      <c r="S58" s="5"/>
      <c r="T58" s="5"/>
      <c r="U58" s="5">
        <v>7</v>
      </c>
      <c r="V58" s="5"/>
      <c r="W58" s="5"/>
    </row>
    <row r="59" spans="1:23" x14ac:dyDescent="0.25">
      <c r="A59" s="5">
        <v>8</v>
      </c>
      <c r="B59" s="5"/>
      <c r="C59" s="5"/>
      <c r="D59" s="5"/>
      <c r="E59" s="5">
        <v>8</v>
      </c>
      <c r="F59" s="5"/>
      <c r="G59" s="5"/>
      <c r="H59" s="5"/>
      <c r="I59" s="5">
        <v>8</v>
      </c>
      <c r="J59" s="5"/>
      <c r="K59" s="5"/>
      <c r="L59" s="5"/>
      <c r="M59" s="5">
        <v>8</v>
      </c>
      <c r="N59" s="5"/>
      <c r="O59" s="5"/>
      <c r="P59" s="5"/>
      <c r="Q59" s="5">
        <v>8</v>
      </c>
      <c r="R59" s="5"/>
      <c r="S59" s="5"/>
      <c r="T59" s="5"/>
      <c r="U59" s="5">
        <v>8</v>
      </c>
      <c r="V59" s="5"/>
      <c r="W59" s="5"/>
    </row>
    <row r="60" spans="1:23" x14ac:dyDescent="0.25">
      <c r="A60" s="5">
        <v>9</v>
      </c>
      <c r="B60" s="5"/>
      <c r="C60" s="5"/>
      <c r="D60" s="5"/>
      <c r="E60" s="5">
        <v>9</v>
      </c>
      <c r="F60" s="5"/>
      <c r="G60" s="5"/>
      <c r="H60" s="5"/>
      <c r="I60" s="5">
        <v>9</v>
      </c>
      <c r="J60" s="5"/>
      <c r="K60" s="5"/>
      <c r="L60" s="5"/>
      <c r="M60" s="5">
        <v>9</v>
      </c>
      <c r="N60" s="5"/>
      <c r="O60" s="5"/>
      <c r="P60" s="5"/>
      <c r="Q60" s="5">
        <v>9</v>
      </c>
      <c r="R60" s="5"/>
      <c r="S60" s="5"/>
      <c r="T60" s="5"/>
      <c r="U60" s="5">
        <v>9</v>
      </c>
      <c r="V60" s="5"/>
      <c r="W60" s="5"/>
    </row>
    <row r="61" spans="1:23" x14ac:dyDescent="0.25">
      <c r="A61" s="5">
        <v>10</v>
      </c>
      <c r="B61" s="5"/>
      <c r="C61" s="5"/>
      <c r="D61" s="5"/>
      <c r="E61" s="5">
        <v>10</v>
      </c>
      <c r="F61" s="5"/>
      <c r="G61" s="5"/>
      <c r="H61" s="5"/>
      <c r="I61" s="5">
        <v>10</v>
      </c>
      <c r="J61" s="5"/>
      <c r="K61" s="5"/>
      <c r="L61" s="5"/>
      <c r="M61" s="5">
        <v>10</v>
      </c>
      <c r="N61" s="5"/>
      <c r="O61" s="5"/>
      <c r="P61" s="5"/>
      <c r="Q61" s="5">
        <v>10</v>
      </c>
      <c r="R61" s="5"/>
      <c r="S61" s="5"/>
      <c r="T61" s="5"/>
      <c r="U61" s="5">
        <v>10</v>
      </c>
      <c r="V61" s="5"/>
      <c r="W61" s="5"/>
    </row>
  </sheetData>
  <mergeCells count="24"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26.140625" style="5" bestFit="1" customWidth="1"/>
    <col min="2" max="2" width="11.42578125" style="5"/>
    <col min="3" max="3" width="13.140625" style="5" bestFit="1" customWidth="1"/>
    <col min="4" max="11" width="11.42578125" style="5"/>
    <col min="12" max="12" width="13.140625" style="5" bestFit="1" customWidth="1"/>
    <col min="13" max="16384" width="11.42578125" style="5"/>
  </cols>
  <sheetData>
    <row r="1" spans="1:12" x14ac:dyDescent="0.25">
      <c r="B1" s="5" t="s">
        <v>310</v>
      </c>
      <c r="C1" s="5" t="s">
        <v>309</v>
      </c>
      <c r="D1" s="5" t="s">
        <v>308</v>
      </c>
      <c r="E1" s="5" t="s">
        <v>307</v>
      </c>
    </row>
    <row r="2" spans="1:12" x14ac:dyDescent="0.25">
      <c r="A2" s="5" t="s">
        <v>306</v>
      </c>
      <c r="B2" s="5" t="s">
        <v>301</v>
      </c>
      <c r="C2" s="5" t="s">
        <v>297</v>
      </c>
      <c r="D2" s="5" t="s">
        <v>298</v>
      </c>
      <c r="E2" s="5" t="s">
        <v>300</v>
      </c>
    </row>
    <row r="3" spans="1:12" x14ac:dyDescent="0.25">
      <c r="A3" s="5" t="s">
        <v>305</v>
      </c>
      <c r="B3" s="5" t="s">
        <v>299</v>
      </c>
      <c r="C3" s="5" t="s">
        <v>297</v>
      </c>
      <c r="D3" s="5" t="s">
        <v>298</v>
      </c>
      <c r="E3" s="5" t="s">
        <v>297</v>
      </c>
    </row>
    <row r="6" spans="1:12" x14ac:dyDescent="0.25">
      <c r="B6" s="5" t="s">
        <v>304</v>
      </c>
      <c r="C6" s="5" t="s">
        <v>303</v>
      </c>
      <c r="D6" s="5">
        <v>2018</v>
      </c>
      <c r="E6" s="5">
        <v>2019</v>
      </c>
      <c r="I6" s="5">
        <v>2016</v>
      </c>
      <c r="J6" s="5" t="s">
        <v>303</v>
      </c>
      <c r="K6" s="5">
        <v>2018</v>
      </c>
      <c r="L6" s="5" t="s">
        <v>302</v>
      </c>
    </row>
    <row r="7" spans="1:12" x14ac:dyDescent="0.25">
      <c r="B7" s="5" t="s">
        <v>301</v>
      </c>
      <c r="C7" s="5" t="s">
        <v>297</v>
      </c>
      <c r="D7" s="5" t="s">
        <v>298</v>
      </c>
      <c r="E7" s="5" t="s">
        <v>300</v>
      </c>
      <c r="I7" s="5" t="s">
        <v>299</v>
      </c>
      <c r="J7" s="5" t="s">
        <v>297</v>
      </c>
      <c r="K7" s="5" t="s">
        <v>298</v>
      </c>
      <c r="L7" s="5" t="s">
        <v>297</v>
      </c>
    </row>
    <row r="8" spans="1:12" x14ac:dyDescent="0.25">
      <c r="A8" s="5" t="s">
        <v>407</v>
      </c>
      <c r="B8" s="5">
        <v>3.4</v>
      </c>
      <c r="C8" s="5">
        <v>6.1</v>
      </c>
      <c r="D8" s="5">
        <v>4.1500000000000004</v>
      </c>
      <c r="E8" s="5">
        <v>7.8</v>
      </c>
      <c r="I8" s="5">
        <v>2.2999999999999998</v>
      </c>
      <c r="J8" s="5">
        <v>4.7</v>
      </c>
      <c r="K8" s="5">
        <v>3.5</v>
      </c>
      <c r="L8" s="5">
        <v>6</v>
      </c>
    </row>
    <row r="9" spans="1:12" x14ac:dyDescent="0.25">
      <c r="A9" s="5" t="s">
        <v>448</v>
      </c>
      <c r="B9" s="5">
        <f>B10/B8</f>
        <v>320</v>
      </c>
      <c r="C9" s="5">
        <f t="shared" ref="C9:E9" si="0">C10/C8</f>
        <v>150</v>
      </c>
      <c r="D9" s="139">
        <f t="shared" si="0"/>
        <v>273.01204819277103</v>
      </c>
      <c r="E9" s="5">
        <f t="shared" si="0"/>
        <v>140</v>
      </c>
      <c r="I9" s="139">
        <f>I10/I8</f>
        <v>484.78260869565219</v>
      </c>
      <c r="J9" s="5">
        <f t="shared" ref="J9" si="1">J10/J8</f>
        <v>150</v>
      </c>
      <c r="K9" s="139">
        <f t="shared" ref="K9" si="2">K10/K8</f>
        <v>273.14285714285717</v>
      </c>
      <c r="L9" s="5">
        <f t="shared" ref="L9" si="3">L10/L8</f>
        <v>150</v>
      </c>
    </row>
    <row r="10" spans="1:12" x14ac:dyDescent="0.25">
      <c r="A10" s="5" t="s">
        <v>449</v>
      </c>
      <c r="B10" s="5">
        <v>1088</v>
      </c>
      <c r="C10" s="5">
        <v>915</v>
      </c>
      <c r="D10" s="5">
        <v>1133</v>
      </c>
      <c r="E10" s="5">
        <v>1092</v>
      </c>
      <c r="I10" s="5">
        <v>1115</v>
      </c>
      <c r="J10" s="5">
        <v>705</v>
      </c>
      <c r="K10" s="5">
        <v>956</v>
      </c>
      <c r="L10" s="5">
        <v>900</v>
      </c>
    </row>
    <row r="11" spans="1:12" x14ac:dyDescent="0.25">
      <c r="A11" s="127" t="s">
        <v>450</v>
      </c>
    </row>
    <row r="12" spans="1:12" x14ac:dyDescent="0.25">
      <c r="A12" s="5" t="s">
        <v>451</v>
      </c>
      <c r="B12" s="5">
        <v>638</v>
      </c>
      <c r="C12" s="5">
        <v>305</v>
      </c>
      <c r="D12" s="5">
        <v>313</v>
      </c>
      <c r="E12" s="5">
        <v>348</v>
      </c>
      <c r="I12" s="5">
        <v>260</v>
      </c>
      <c r="J12" s="5">
        <v>290</v>
      </c>
      <c r="K12" s="5">
        <v>250</v>
      </c>
      <c r="L12" s="5">
        <v>306</v>
      </c>
    </row>
    <row r="13" spans="1:12" x14ac:dyDescent="0.25">
      <c r="A13" s="5" t="s">
        <v>452</v>
      </c>
      <c r="B13" s="5">
        <f>B10-B12</f>
        <v>450</v>
      </c>
      <c r="C13" s="5">
        <f>C10-C12</f>
        <v>610</v>
      </c>
      <c r="D13" s="5">
        <f>D10-D12</f>
        <v>820</v>
      </c>
      <c r="E13" s="5">
        <f>E10-E12</f>
        <v>744</v>
      </c>
      <c r="I13" s="5">
        <f>I10-I12</f>
        <v>855</v>
      </c>
      <c r="J13" s="5">
        <f>J10-J12</f>
        <v>415</v>
      </c>
      <c r="K13" s="5">
        <f>K10-K12</f>
        <v>706</v>
      </c>
      <c r="L13" s="5">
        <f>L10-L12</f>
        <v>594</v>
      </c>
    </row>
    <row r="15" spans="1:12" x14ac:dyDescent="0.25">
      <c r="A15" s="5" t="s">
        <v>453</v>
      </c>
      <c r="B15" s="5">
        <f>(B13+C13+D13+E13)/4</f>
        <v>656</v>
      </c>
      <c r="I15" s="5">
        <f>(I13+J13+K13+L13)/4</f>
        <v>642.5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I19" sqref="I19"/>
    </sheetView>
  </sheetViews>
  <sheetFormatPr baseColWidth="10" defaultColWidth="11.42578125" defaultRowHeight="15" x14ac:dyDescent="0.25"/>
  <cols>
    <col min="1" max="1" width="17.42578125" style="5" bestFit="1" customWidth="1"/>
    <col min="2" max="2" width="12.85546875" style="5" bestFit="1" customWidth="1"/>
    <col min="3" max="7" width="11.42578125" style="5"/>
    <col min="8" max="8" width="23" style="5" bestFit="1" customWidth="1"/>
    <col min="9" max="9" width="11.42578125" style="5" customWidth="1"/>
    <col min="10" max="16384" width="11.42578125" style="5"/>
  </cols>
  <sheetData>
    <row r="1" spans="1:12" x14ac:dyDescent="0.25">
      <c r="B1" s="5" t="s">
        <v>310</v>
      </c>
      <c r="C1" s="5" t="s">
        <v>309</v>
      </c>
      <c r="D1" s="5" t="s">
        <v>308</v>
      </c>
      <c r="E1" s="5" t="s">
        <v>307</v>
      </c>
    </row>
    <row r="2" spans="1:12" x14ac:dyDescent="0.25">
      <c r="A2" s="5" t="s">
        <v>306</v>
      </c>
      <c r="B2" s="5" t="s">
        <v>301</v>
      </c>
      <c r="C2" s="5" t="s">
        <v>297</v>
      </c>
      <c r="D2" s="5" t="s">
        <v>298</v>
      </c>
      <c r="E2" s="5" t="s">
        <v>300</v>
      </c>
    </row>
    <row r="3" spans="1:12" x14ac:dyDescent="0.25">
      <c r="A3" s="5" t="s">
        <v>305</v>
      </c>
      <c r="B3" s="5" t="s">
        <v>299</v>
      </c>
      <c r="C3" s="5" t="s">
        <v>297</v>
      </c>
      <c r="D3" s="5" t="s">
        <v>298</v>
      </c>
      <c r="E3" s="5" t="s">
        <v>297</v>
      </c>
    </row>
    <row r="7" spans="1:12" x14ac:dyDescent="0.25">
      <c r="A7" s="122"/>
      <c r="B7" s="6" t="s">
        <v>301</v>
      </c>
      <c r="C7" s="6" t="s">
        <v>297</v>
      </c>
      <c r="D7" s="6" t="s">
        <v>298</v>
      </c>
      <c r="E7" s="6" t="s">
        <v>300</v>
      </c>
      <c r="F7" s="6"/>
      <c r="G7" s="6"/>
      <c r="H7" s="124"/>
      <c r="I7" s="6" t="s">
        <v>299</v>
      </c>
      <c r="J7" s="6" t="s">
        <v>297</v>
      </c>
      <c r="K7" s="6" t="s">
        <v>298</v>
      </c>
      <c r="L7" s="6" t="s">
        <v>297</v>
      </c>
    </row>
    <row r="8" spans="1:12" x14ac:dyDescent="0.25">
      <c r="A8" s="123" t="s">
        <v>407</v>
      </c>
      <c r="B8" s="121">
        <v>3.4</v>
      </c>
      <c r="C8" s="121">
        <v>6.1</v>
      </c>
      <c r="D8" s="121">
        <v>4.1500000000000004</v>
      </c>
      <c r="E8" s="121">
        <v>7.8</v>
      </c>
      <c r="F8" s="121"/>
      <c r="G8" s="121"/>
      <c r="H8" s="123" t="s">
        <v>407</v>
      </c>
      <c r="I8" s="121">
        <v>2.2999999999999998</v>
      </c>
      <c r="J8" s="121">
        <v>4.7</v>
      </c>
      <c r="K8" s="121">
        <v>3.5</v>
      </c>
      <c r="L8" s="121">
        <v>6</v>
      </c>
    </row>
    <row r="9" spans="1:12" x14ac:dyDescent="0.25">
      <c r="A9" s="124" t="s">
        <v>312</v>
      </c>
      <c r="H9" s="124" t="s">
        <v>312</v>
      </c>
    </row>
    <row r="10" spans="1:12" x14ac:dyDescent="0.25">
      <c r="A10" s="122" t="s">
        <v>32</v>
      </c>
      <c r="B10" s="5" t="s">
        <v>127</v>
      </c>
      <c r="C10" s="5" t="s">
        <v>151</v>
      </c>
      <c r="D10" s="5" t="s">
        <v>151</v>
      </c>
      <c r="E10" s="5" t="s">
        <v>151</v>
      </c>
      <c r="H10" s="122" t="s">
        <v>32</v>
      </c>
      <c r="J10" s="5" t="s">
        <v>188</v>
      </c>
      <c r="K10" s="5" t="s">
        <v>455</v>
      </c>
      <c r="L10" s="5" t="s">
        <v>188</v>
      </c>
    </row>
    <row r="11" spans="1:12" x14ac:dyDescent="0.25">
      <c r="A11" s="122" t="s">
        <v>311</v>
      </c>
      <c r="B11" s="112">
        <v>0.1</v>
      </c>
      <c r="C11" s="112">
        <v>0.35</v>
      </c>
      <c r="D11" s="112">
        <v>0.35</v>
      </c>
      <c r="E11" s="112">
        <v>0.35</v>
      </c>
      <c r="H11" s="122" t="s">
        <v>311</v>
      </c>
      <c r="J11" s="112">
        <v>0.26</v>
      </c>
      <c r="K11" s="112">
        <v>0.15</v>
      </c>
      <c r="L11" s="112">
        <v>0.26</v>
      </c>
    </row>
    <row r="12" spans="1:12" x14ac:dyDescent="0.25">
      <c r="A12" s="122" t="s">
        <v>456</v>
      </c>
      <c r="B12" s="5">
        <v>250</v>
      </c>
      <c r="C12" s="5">
        <v>200</v>
      </c>
      <c r="D12" s="5">
        <v>200</v>
      </c>
      <c r="E12" s="5">
        <v>350</v>
      </c>
      <c r="H12" s="122" t="s">
        <v>456</v>
      </c>
      <c r="J12" s="5">
        <v>350</v>
      </c>
      <c r="K12" s="5">
        <v>250</v>
      </c>
      <c r="L12" s="5">
        <v>350</v>
      </c>
    </row>
    <row r="13" spans="1:12" x14ac:dyDescent="0.25">
      <c r="A13" s="122" t="s">
        <v>457</v>
      </c>
      <c r="B13" s="5">
        <f>B11*B12</f>
        <v>25</v>
      </c>
      <c r="C13" s="5">
        <f>C11*C12</f>
        <v>70</v>
      </c>
      <c r="D13" s="5">
        <f>D11*D12</f>
        <v>70</v>
      </c>
      <c r="E13" s="5">
        <f>E11*E12</f>
        <v>122.49999999999999</v>
      </c>
      <c r="H13" s="122" t="s">
        <v>457</v>
      </c>
      <c r="J13" s="5">
        <f>J11*J12</f>
        <v>91</v>
      </c>
      <c r="K13" s="5">
        <f>K11*K12</f>
        <v>37.5</v>
      </c>
      <c r="L13" s="5">
        <f>L11*L12</f>
        <v>91</v>
      </c>
    </row>
    <row r="14" spans="1:12" x14ac:dyDescent="0.25">
      <c r="A14" s="122"/>
      <c r="H14" s="122"/>
    </row>
    <row r="15" spans="1:12" x14ac:dyDescent="0.25">
      <c r="A15" s="122" t="s">
        <v>32</v>
      </c>
      <c r="B15" s="5" t="s">
        <v>129</v>
      </c>
      <c r="C15" s="5" t="s">
        <v>149</v>
      </c>
      <c r="D15" s="5" t="s">
        <v>454</v>
      </c>
      <c r="E15" s="5" t="s">
        <v>454</v>
      </c>
      <c r="H15" s="122"/>
    </row>
    <row r="16" spans="1:12" x14ac:dyDescent="0.25">
      <c r="A16" s="122" t="s">
        <v>311</v>
      </c>
      <c r="B16" s="112">
        <v>0.25</v>
      </c>
      <c r="C16" s="112">
        <v>0.18</v>
      </c>
      <c r="D16" s="112">
        <v>0.16</v>
      </c>
      <c r="E16" s="112">
        <v>0.16</v>
      </c>
      <c r="H16" s="122" t="s">
        <v>458</v>
      </c>
      <c r="I16" s="5">
        <v>0</v>
      </c>
      <c r="J16" s="5">
        <v>91</v>
      </c>
      <c r="K16" s="5">
        <v>37.5</v>
      </c>
      <c r="L16" s="5">
        <v>91</v>
      </c>
    </row>
    <row r="17" spans="1:9" x14ac:dyDescent="0.25">
      <c r="A17" s="122" t="s">
        <v>456</v>
      </c>
      <c r="B17" s="5">
        <v>250</v>
      </c>
      <c r="C17" s="5">
        <v>350</v>
      </c>
      <c r="D17" s="5">
        <v>210</v>
      </c>
      <c r="E17" s="5">
        <v>210</v>
      </c>
      <c r="H17" s="122"/>
    </row>
    <row r="18" spans="1:9" x14ac:dyDescent="0.25">
      <c r="A18" s="122" t="s">
        <v>457</v>
      </c>
      <c r="B18" s="5">
        <f>B16*B17</f>
        <v>62.5</v>
      </c>
      <c r="C18" s="5">
        <f>C16*C17</f>
        <v>63</v>
      </c>
      <c r="D18" s="5">
        <f>D16*D17</f>
        <v>33.6</v>
      </c>
      <c r="E18" s="5">
        <f>E16*E17</f>
        <v>33.6</v>
      </c>
      <c r="H18" s="122" t="s">
        <v>459</v>
      </c>
      <c r="I18" s="67">
        <f>(I16+J16+K16+L16)/4</f>
        <v>54.875</v>
      </c>
    </row>
    <row r="19" spans="1:9" x14ac:dyDescent="0.25">
      <c r="A19" s="122"/>
    </row>
    <row r="20" spans="1:9" x14ac:dyDescent="0.25">
      <c r="A20" s="122" t="s">
        <v>32</v>
      </c>
      <c r="B20" s="5" t="s">
        <v>131</v>
      </c>
    </row>
    <row r="21" spans="1:9" x14ac:dyDescent="0.25">
      <c r="A21" s="122" t="s">
        <v>311</v>
      </c>
      <c r="B21" s="66">
        <v>1.7999999999999999E-2</v>
      </c>
    </row>
    <row r="22" spans="1:9" x14ac:dyDescent="0.25">
      <c r="A22" s="122" t="s">
        <v>456</v>
      </c>
      <c r="B22" s="5">
        <v>1.5</v>
      </c>
    </row>
    <row r="23" spans="1:9" x14ac:dyDescent="0.25">
      <c r="A23" s="122" t="s">
        <v>457</v>
      </c>
      <c r="B23" s="111">
        <f>B21*B22</f>
        <v>2.6999999999999996E-2</v>
      </c>
    </row>
    <row r="24" spans="1:9" x14ac:dyDescent="0.25">
      <c r="A24" s="122"/>
    </row>
    <row r="25" spans="1:9" x14ac:dyDescent="0.25">
      <c r="A25" s="122"/>
    </row>
    <row r="26" spans="1:9" x14ac:dyDescent="0.25">
      <c r="A26" s="122" t="s">
        <v>458</v>
      </c>
      <c r="B26" s="5">
        <f>B13+B18+B23</f>
        <v>87.527000000000001</v>
      </c>
      <c r="C26" s="5">
        <f>C13+C18</f>
        <v>133</v>
      </c>
      <c r="D26" s="5">
        <f>D13+D18</f>
        <v>103.6</v>
      </c>
      <c r="E26" s="5">
        <f>E13+E18</f>
        <v>156.1</v>
      </c>
    </row>
    <row r="27" spans="1:9" x14ac:dyDescent="0.25">
      <c r="A27" s="122"/>
    </row>
    <row r="28" spans="1:9" x14ac:dyDescent="0.25">
      <c r="A28" s="122" t="s">
        <v>459</v>
      </c>
      <c r="B28" s="67">
        <f>(B26+C26+D26+E26)/4</f>
        <v>120.05674999999999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85546875" style="5" bestFit="1" customWidth="1"/>
    <col min="2" max="12" width="11.42578125" style="5"/>
    <col min="13" max="13" width="16.7109375" style="5" customWidth="1"/>
    <col min="14" max="14" width="21.140625" style="5" customWidth="1"/>
    <col min="15" max="15" width="22" style="5" bestFit="1" customWidth="1"/>
    <col min="16" max="16" width="11.42578125" style="5"/>
    <col min="17" max="17" width="21.5703125" style="5" customWidth="1"/>
    <col min="18" max="16384" width="11.42578125" style="5"/>
  </cols>
  <sheetData>
    <row r="1" spans="1:18" x14ac:dyDescent="0.25">
      <c r="B1" s="5" t="s">
        <v>310</v>
      </c>
      <c r="C1" s="5" t="s">
        <v>309</v>
      </c>
      <c r="D1" s="5" t="s">
        <v>308</v>
      </c>
      <c r="E1" s="5" t="s">
        <v>307</v>
      </c>
      <c r="M1" s="6" t="s">
        <v>339</v>
      </c>
      <c r="N1" s="6" t="s">
        <v>420</v>
      </c>
      <c r="O1" s="6" t="s">
        <v>423</v>
      </c>
      <c r="P1" s="6"/>
      <c r="Q1" s="6" t="s">
        <v>339</v>
      </c>
      <c r="R1" s="70" t="s">
        <v>340</v>
      </c>
    </row>
    <row r="2" spans="1:18" x14ac:dyDescent="0.25">
      <c r="A2" s="5" t="s">
        <v>306</v>
      </c>
      <c r="B2" s="5" t="s">
        <v>301</v>
      </c>
      <c r="C2" s="5" t="s">
        <v>297</v>
      </c>
      <c r="D2" s="5" t="s">
        <v>298</v>
      </c>
      <c r="E2" s="5" t="s">
        <v>300</v>
      </c>
      <c r="M2" s="137" t="s">
        <v>425</v>
      </c>
      <c r="N2" s="141">
        <v>0.10299999999999999</v>
      </c>
      <c r="O2" s="127">
        <v>18</v>
      </c>
      <c r="P2" s="127"/>
      <c r="Q2" s="68" t="s">
        <v>341</v>
      </c>
      <c r="R2" s="41">
        <v>0.85</v>
      </c>
    </row>
    <row r="3" spans="1:18" x14ac:dyDescent="0.25">
      <c r="A3" s="5" t="s">
        <v>305</v>
      </c>
      <c r="B3" s="5" t="s">
        <v>299</v>
      </c>
      <c r="C3" s="5" t="s">
        <v>297</v>
      </c>
      <c r="D3" s="5" t="s">
        <v>298</v>
      </c>
      <c r="E3" s="5" t="s">
        <v>297</v>
      </c>
      <c r="M3" s="138" t="s">
        <v>426</v>
      </c>
      <c r="N3" s="141">
        <v>0.11700000000000001</v>
      </c>
      <c r="O3" s="5">
        <v>18.100000000000001</v>
      </c>
      <c r="Q3" s="5" t="s">
        <v>342</v>
      </c>
      <c r="R3" s="5">
        <v>0.88</v>
      </c>
    </row>
    <row r="4" spans="1:18" x14ac:dyDescent="0.25">
      <c r="M4" s="116" t="s">
        <v>427</v>
      </c>
      <c r="N4" s="141">
        <v>0.126</v>
      </c>
      <c r="O4" s="5">
        <v>18.2</v>
      </c>
      <c r="Q4" s="5" t="s">
        <v>343</v>
      </c>
      <c r="R4" s="5">
        <v>0.89</v>
      </c>
    </row>
    <row r="5" spans="1:18" x14ac:dyDescent="0.25">
      <c r="M5" s="116" t="s">
        <v>345</v>
      </c>
      <c r="N5" s="141">
        <v>0.11799999999999999</v>
      </c>
      <c r="O5" s="127">
        <v>18.399999999999999</v>
      </c>
      <c r="Q5" s="5" t="s">
        <v>344</v>
      </c>
      <c r="R5" s="5">
        <v>0.89</v>
      </c>
    </row>
    <row r="6" spans="1:18" x14ac:dyDescent="0.25">
      <c r="M6" s="137" t="s">
        <v>405</v>
      </c>
      <c r="N6" s="141">
        <v>0.28999999999999998</v>
      </c>
      <c r="O6" s="127">
        <v>18.7</v>
      </c>
      <c r="P6" s="127"/>
      <c r="Q6" s="5" t="s">
        <v>345</v>
      </c>
      <c r="R6" s="5">
        <v>0.89</v>
      </c>
    </row>
    <row r="7" spans="1:18" x14ac:dyDescent="0.25">
      <c r="M7" s="5" t="s">
        <v>428</v>
      </c>
      <c r="N7" s="141">
        <v>0.20899999999999999</v>
      </c>
      <c r="O7" s="5">
        <v>28.8</v>
      </c>
      <c r="Q7" s="5" t="s">
        <v>346</v>
      </c>
      <c r="R7" s="5">
        <v>0.89</v>
      </c>
    </row>
    <row r="8" spans="1:18" x14ac:dyDescent="0.25">
      <c r="B8" s="5" t="s">
        <v>301</v>
      </c>
      <c r="C8" s="5" t="s">
        <v>297</v>
      </c>
      <c r="D8" s="5" t="s">
        <v>298</v>
      </c>
      <c r="E8" s="5" t="s">
        <v>300</v>
      </c>
      <c r="G8" s="5" t="s">
        <v>299</v>
      </c>
      <c r="H8" s="5" t="s">
        <v>297</v>
      </c>
      <c r="I8" s="5" t="s">
        <v>298</v>
      </c>
      <c r="J8" s="5" t="s">
        <v>297</v>
      </c>
      <c r="M8" s="5" t="s">
        <v>429</v>
      </c>
      <c r="N8" s="141">
        <v>0.33700000000000002</v>
      </c>
      <c r="O8" s="127">
        <v>20.3</v>
      </c>
      <c r="P8" s="127"/>
      <c r="Q8" s="5" t="s">
        <v>300</v>
      </c>
      <c r="R8" s="5">
        <v>0.87</v>
      </c>
    </row>
    <row r="9" spans="1:18" x14ac:dyDescent="0.25">
      <c r="A9" s="5" t="s">
        <v>417</v>
      </c>
      <c r="B9" s="5">
        <v>3.4</v>
      </c>
      <c r="C9" s="5">
        <v>6.1</v>
      </c>
      <c r="D9" s="5">
        <v>4.1500000000000004</v>
      </c>
      <c r="E9" s="5">
        <v>7.8</v>
      </c>
      <c r="G9" s="5">
        <v>2.2999999999999998</v>
      </c>
      <c r="H9" s="5">
        <v>4.7</v>
      </c>
      <c r="I9" s="5">
        <v>3.5</v>
      </c>
      <c r="J9" s="5">
        <v>6</v>
      </c>
      <c r="M9" s="5" t="s">
        <v>430</v>
      </c>
      <c r="N9" s="141">
        <v>0.23899999999999999</v>
      </c>
      <c r="O9" s="127">
        <v>18.3</v>
      </c>
      <c r="Q9" s="5" t="s">
        <v>347</v>
      </c>
      <c r="R9" s="5">
        <v>0.88</v>
      </c>
    </row>
    <row r="10" spans="1:18" x14ac:dyDescent="0.25">
      <c r="A10" s="5" t="s">
        <v>418</v>
      </c>
      <c r="B10" s="112">
        <v>0.85</v>
      </c>
      <c r="C10" s="112">
        <v>0.89</v>
      </c>
      <c r="D10" s="112">
        <v>0.85</v>
      </c>
      <c r="E10" s="112">
        <v>0.87</v>
      </c>
      <c r="F10" s="112"/>
      <c r="G10" s="112">
        <v>0.91</v>
      </c>
      <c r="H10" s="112">
        <v>0.89</v>
      </c>
      <c r="I10" s="112">
        <v>0.85</v>
      </c>
      <c r="J10" s="112">
        <v>0.89</v>
      </c>
      <c r="M10" s="5" t="s">
        <v>431</v>
      </c>
      <c r="N10" s="141">
        <v>0.11</v>
      </c>
      <c r="O10" s="127">
        <v>19.5</v>
      </c>
      <c r="P10" s="127"/>
      <c r="Q10" s="5" t="s">
        <v>348</v>
      </c>
      <c r="R10" s="5">
        <v>0.89</v>
      </c>
    </row>
    <row r="11" spans="1:18" x14ac:dyDescent="0.25">
      <c r="A11" s="5" t="s">
        <v>419</v>
      </c>
      <c r="B11" s="5">
        <f>B9*B10</f>
        <v>2.8899999999999997</v>
      </c>
      <c r="C11" s="5">
        <f>C9*C10</f>
        <v>5.4289999999999994</v>
      </c>
      <c r="D11" s="5">
        <f>D9*D10</f>
        <v>3.5275000000000003</v>
      </c>
      <c r="E11" s="5">
        <f>E9*E10</f>
        <v>6.7859999999999996</v>
      </c>
      <c r="G11" s="5">
        <f>G9*G10</f>
        <v>2.093</v>
      </c>
      <c r="H11" s="5">
        <f>H9*H10</f>
        <v>4.1829999999999998</v>
      </c>
      <c r="I11" s="5">
        <f>I9*I10</f>
        <v>2.9750000000000001</v>
      </c>
      <c r="J11" s="5">
        <f>J9*J10</f>
        <v>5.34</v>
      </c>
      <c r="M11" s="137" t="s">
        <v>432</v>
      </c>
      <c r="N11" s="141">
        <v>0.08</v>
      </c>
      <c r="O11" s="117">
        <v>18.899999999999999</v>
      </c>
      <c r="P11" s="127"/>
      <c r="Q11" s="5" t="s">
        <v>349</v>
      </c>
      <c r="R11" s="67">
        <v>0.9</v>
      </c>
    </row>
    <row r="12" spans="1:18" x14ac:dyDescent="0.25">
      <c r="A12" s="5" t="s">
        <v>420</v>
      </c>
      <c r="B12" s="66">
        <v>0.20899999999999999</v>
      </c>
      <c r="C12" s="66">
        <v>0.126</v>
      </c>
      <c r="D12" s="66">
        <v>0.16600000000000001</v>
      </c>
      <c r="E12" s="66">
        <v>9.4E-2</v>
      </c>
      <c r="G12" s="66">
        <v>0.39600000000000002</v>
      </c>
      <c r="H12" s="66">
        <v>0.126</v>
      </c>
      <c r="I12" s="66">
        <v>0.16600000000000001</v>
      </c>
      <c r="J12" s="66">
        <v>0.126</v>
      </c>
      <c r="M12" s="137" t="s">
        <v>433</v>
      </c>
      <c r="N12" s="141">
        <v>0.191</v>
      </c>
      <c r="O12" s="5">
        <v>18.2</v>
      </c>
      <c r="Q12" s="5" t="s">
        <v>350</v>
      </c>
      <c r="R12" s="5">
        <v>0.89</v>
      </c>
    </row>
    <row r="13" spans="1:18" x14ac:dyDescent="0.25">
      <c r="A13" s="5" t="s">
        <v>421</v>
      </c>
      <c r="B13" s="115">
        <f>B11*B12</f>
        <v>0.60400999999999994</v>
      </c>
      <c r="C13" s="115">
        <f>C11*C12</f>
        <v>0.68405399999999994</v>
      </c>
      <c r="D13" s="115">
        <f>D11*D12</f>
        <v>0.58556500000000011</v>
      </c>
      <c r="E13" s="115">
        <f>E11*E12</f>
        <v>0.63788400000000001</v>
      </c>
      <c r="F13" s="115"/>
      <c r="G13" s="115">
        <f>G11*G12</f>
        <v>0.82882800000000001</v>
      </c>
      <c r="H13" s="115">
        <f>H11*H12</f>
        <v>0.52705800000000003</v>
      </c>
      <c r="I13" s="115">
        <f>I11*I12</f>
        <v>0.49385000000000007</v>
      </c>
      <c r="J13" s="115">
        <f>J11*J12</f>
        <v>0.67283999999999999</v>
      </c>
      <c r="M13" s="114" t="s">
        <v>299</v>
      </c>
      <c r="N13" s="141">
        <v>0.39600000000000002</v>
      </c>
      <c r="O13" s="127">
        <v>23.6</v>
      </c>
      <c r="Q13" s="5" t="s">
        <v>351</v>
      </c>
      <c r="R13" s="5">
        <v>0.91</v>
      </c>
    </row>
    <row r="14" spans="1:18" x14ac:dyDescent="0.25">
      <c r="M14" s="5" t="s">
        <v>434</v>
      </c>
      <c r="N14" s="141">
        <v>9.4E-2</v>
      </c>
      <c r="O14" s="5">
        <v>18.7</v>
      </c>
      <c r="P14" s="127"/>
      <c r="Q14" s="5" t="s">
        <v>352</v>
      </c>
      <c r="R14" s="5">
        <v>0.91</v>
      </c>
    </row>
    <row r="15" spans="1:18" x14ac:dyDescent="0.25">
      <c r="A15" s="5" t="s">
        <v>422</v>
      </c>
      <c r="C15" s="139">
        <f>((B13+C13+D13+E13))/4*1000</f>
        <v>627.87824999999998</v>
      </c>
      <c r="D15" s="139"/>
      <c r="E15" s="139"/>
      <c r="F15" s="139"/>
      <c r="G15" s="139"/>
      <c r="H15" s="139">
        <f>((G13+H13+I13+J13)/4)*1000</f>
        <v>630.64400000000001</v>
      </c>
      <c r="M15" s="114" t="s">
        <v>298</v>
      </c>
      <c r="N15" s="141">
        <v>0.16600000000000001</v>
      </c>
      <c r="O15" s="5">
        <v>28.7</v>
      </c>
      <c r="Q15" s="5" t="s">
        <v>353</v>
      </c>
      <c r="R15" s="5">
        <v>0.22</v>
      </c>
    </row>
    <row r="16" spans="1:18" x14ac:dyDescent="0.25">
      <c r="M16" s="113" t="s">
        <v>435</v>
      </c>
      <c r="N16" s="141">
        <v>0.248</v>
      </c>
      <c r="O16" s="5">
        <v>18.600000000000001</v>
      </c>
      <c r="Q16" s="5" t="s">
        <v>354</v>
      </c>
      <c r="R16" s="5">
        <v>0.94</v>
      </c>
    </row>
    <row r="17" spans="1:18" x14ac:dyDescent="0.25">
      <c r="A17" s="5" t="s">
        <v>423</v>
      </c>
      <c r="B17" s="5">
        <v>28.8</v>
      </c>
      <c r="C17" s="5">
        <v>18.2</v>
      </c>
      <c r="D17" s="127">
        <v>28.7</v>
      </c>
      <c r="E17" s="5">
        <v>18.7</v>
      </c>
      <c r="G17" s="127">
        <v>23.6</v>
      </c>
      <c r="H17" s="5">
        <v>18.2</v>
      </c>
      <c r="I17" s="127">
        <v>28.7</v>
      </c>
      <c r="J17" s="5">
        <v>18.2</v>
      </c>
      <c r="M17" s="5" t="s">
        <v>436</v>
      </c>
      <c r="N17" s="141">
        <v>0.17699999999999999</v>
      </c>
      <c r="O17" s="5">
        <v>18.5</v>
      </c>
      <c r="P17" s="127"/>
      <c r="Q17" s="5" t="s">
        <v>355</v>
      </c>
      <c r="R17" s="5">
        <v>0.9</v>
      </c>
    </row>
    <row r="18" spans="1:18" x14ac:dyDescent="0.25">
      <c r="A18" s="5" t="s">
        <v>416</v>
      </c>
      <c r="B18" s="67">
        <f>B17*B11</f>
        <v>83.231999999999999</v>
      </c>
      <c r="C18" s="67">
        <f t="shared" ref="C18:J18" si="0">C17*C11</f>
        <v>98.807799999999986</v>
      </c>
      <c r="D18" s="67">
        <f t="shared" si="0"/>
        <v>101.23925000000001</v>
      </c>
      <c r="E18" s="67">
        <f t="shared" si="0"/>
        <v>126.89819999999999</v>
      </c>
      <c r="F18" s="67"/>
      <c r="G18" s="67">
        <f t="shared" si="0"/>
        <v>49.394800000000004</v>
      </c>
      <c r="H18" s="67">
        <f t="shared" si="0"/>
        <v>76.130599999999987</v>
      </c>
      <c r="I18" s="67">
        <f t="shared" si="0"/>
        <v>85.382500000000007</v>
      </c>
      <c r="J18" s="67">
        <f t="shared" si="0"/>
        <v>97.187999999999988</v>
      </c>
      <c r="K18" s="67"/>
      <c r="M18" s="5" t="s">
        <v>437</v>
      </c>
      <c r="N18" s="141">
        <v>7.8E-2</v>
      </c>
      <c r="O18" s="5">
        <v>16.899999999999999</v>
      </c>
      <c r="Q18" s="5" t="s">
        <v>356</v>
      </c>
      <c r="R18" s="5">
        <v>0.9</v>
      </c>
    </row>
    <row r="19" spans="1:18" x14ac:dyDescent="0.25">
      <c r="B19" s="67"/>
      <c r="C19" s="67"/>
      <c r="D19" s="67"/>
      <c r="E19" s="67"/>
      <c r="F19" s="67"/>
      <c r="G19" s="67"/>
      <c r="H19" s="67"/>
      <c r="I19" s="67"/>
      <c r="J19" s="67"/>
      <c r="K19" s="67"/>
      <c r="M19" s="5" t="s">
        <v>438</v>
      </c>
      <c r="N19" s="141">
        <v>0.189</v>
      </c>
      <c r="O19" s="5">
        <v>18.899999999999999</v>
      </c>
      <c r="Q19" s="5" t="s">
        <v>357</v>
      </c>
      <c r="R19" s="5">
        <v>0.9</v>
      </c>
    </row>
    <row r="20" spans="1:18" x14ac:dyDescent="0.25">
      <c r="A20" s="5" t="s">
        <v>424</v>
      </c>
      <c r="B20" s="67">
        <f>AVERAGE(B18:E18)</f>
        <v>102.54431249999999</v>
      </c>
      <c r="C20" s="67"/>
      <c r="D20" s="67"/>
      <c r="E20" s="67"/>
      <c r="F20" s="67"/>
      <c r="G20" s="67">
        <f>AVERAGE(G18:J18)</f>
        <v>77.023974999999993</v>
      </c>
      <c r="H20" s="67"/>
      <c r="I20" s="67"/>
      <c r="J20" s="67"/>
      <c r="K20" s="67"/>
      <c r="M20" s="5" t="s">
        <v>439</v>
      </c>
      <c r="N20" s="141">
        <v>0.16200000000000001</v>
      </c>
      <c r="O20" s="5">
        <v>18.7</v>
      </c>
      <c r="Q20" s="5" t="s">
        <v>358</v>
      </c>
      <c r="R20" s="5">
        <v>0.9</v>
      </c>
    </row>
    <row r="21" spans="1:18" x14ac:dyDescent="0.25">
      <c r="B21" s="67"/>
      <c r="C21" s="67"/>
      <c r="D21" s="67"/>
      <c r="E21" s="67"/>
      <c r="F21" s="67"/>
      <c r="G21" s="67"/>
      <c r="H21" s="67"/>
      <c r="I21" s="67"/>
      <c r="J21" s="67"/>
      <c r="K21" s="67"/>
      <c r="M21" s="5" t="s">
        <v>440</v>
      </c>
      <c r="N21" s="141">
        <v>0.10199999999999999</v>
      </c>
      <c r="O21" s="5">
        <v>17.7</v>
      </c>
      <c r="Q21" s="5" t="s">
        <v>359</v>
      </c>
      <c r="R21" s="5">
        <v>0.9</v>
      </c>
    </row>
    <row r="22" spans="1:18" x14ac:dyDescent="0.25">
      <c r="B22" s="67"/>
      <c r="C22" s="67"/>
      <c r="D22" s="67"/>
      <c r="E22" s="67"/>
      <c r="F22" s="67"/>
      <c r="G22" s="67"/>
      <c r="H22" s="67"/>
      <c r="I22" s="67"/>
      <c r="J22" s="67"/>
      <c r="K22" s="67"/>
      <c r="M22" s="5" t="s">
        <v>441</v>
      </c>
      <c r="N22" s="141">
        <v>0.14699999999999999</v>
      </c>
      <c r="O22" s="117">
        <v>18.18</v>
      </c>
      <c r="Q22" s="5" t="s">
        <v>360</v>
      </c>
      <c r="R22" s="5">
        <v>0.9</v>
      </c>
    </row>
    <row r="23" spans="1:18" x14ac:dyDescent="0.25">
      <c r="B23" s="67"/>
      <c r="C23" s="67"/>
      <c r="D23" s="67"/>
      <c r="E23" s="67"/>
      <c r="F23" s="67"/>
      <c r="G23" s="67"/>
      <c r="H23" s="67"/>
      <c r="I23" s="67"/>
      <c r="J23" s="67"/>
      <c r="K23" s="67"/>
      <c r="M23" s="5" t="s">
        <v>442</v>
      </c>
      <c r="N23" s="141">
        <v>0.11</v>
      </c>
      <c r="O23" s="5">
        <v>17.899999999999999</v>
      </c>
    </row>
    <row r="24" spans="1:18" x14ac:dyDescent="0.25">
      <c r="M24" s="138" t="s">
        <v>443</v>
      </c>
      <c r="N24" s="141">
        <v>0.17280000000000001</v>
      </c>
      <c r="O24" s="142">
        <v>18.78</v>
      </c>
      <c r="Q24" s="5" t="s">
        <v>444</v>
      </c>
    </row>
    <row r="26" spans="1:18" x14ac:dyDescent="0.25">
      <c r="M26" s="127" t="s">
        <v>445</v>
      </c>
      <c r="N26" s="5" t="s">
        <v>446</v>
      </c>
    </row>
    <row r="27" spans="1:18" x14ac:dyDescent="0.25">
      <c r="N27" s="5" t="s">
        <v>447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option 1 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2020-12-02T08:31:33Z</dcterms:modified>
</cp:coreProperties>
</file>