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tz\Desktop\final final\"/>
    </mc:Choice>
  </mc:AlternateContent>
  <bookViews>
    <workbookView xWindow="-105" yWindow="-105" windowWidth="19425" windowHeight="10425"/>
  </bookViews>
  <sheets>
    <sheet name="Output" sheetId="22" r:id="rId1"/>
    <sheet name="Data source" sheetId="17" r:id="rId2"/>
    <sheet name="Site characteristics" sheetId="1" r:id="rId3"/>
    <sheet name="Without legumes" sheetId="16" r:id="rId4"/>
    <sheet name="With legumes option 1 " sheetId="15" r:id="rId5"/>
    <sheet name="Data for yield stability" sheetId="12" r:id="rId6"/>
    <sheet name="GM" sheetId="18" r:id="rId7"/>
    <sheet name="N fertilizer" sheetId="19" r:id="rId8"/>
    <sheet name="Protein &amp; Energy Output" sheetId="20" r:id="rId9"/>
    <sheet name="Crop Diversity" sheetId="21" r:id="rId10"/>
    <sheet name="NO3-N" sheetId="26" r:id="rId11"/>
    <sheet name="N2O calculations" sheetId="23" r:id="rId12"/>
    <sheet name="N2O default values" sheetId="24" r:id="rId13"/>
    <sheet name="Mapping crops" sheetId="25" r:id="rId1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9" i="12" l="1"/>
  <c r="P8" i="12"/>
  <c r="G18" i="12"/>
  <c r="C18" i="12"/>
  <c r="I15" i="18"/>
  <c r="B15" i="18"/>
  <c r="I30" i="19"/>
  <c r="C32" i="19"/>
  <c r="B30" i="19"/>
  <c r="F20" i="20"/>
  <c r="B20" i="20"/>
  <c r="F15" i="20"/>
  <c r="B15" i="20"/>
  <c r="K10" i="26" l="1"/>
  <c r="K6" i="26"/>
  <c r="J3" i="22" l="1"/>
  <c r="J2" i="22"/>
  <c r="D27" i="19"/>
  <c r="C27" i="19"/>
  <c r="B27" i="19"/>
  <c r="D25" i="19"/>
  <c r="C25" i="19"/>
  <c r="B25" i="19"/>
  <c r="I10" i="18"/>
  <c r="C10" i="18"/>
  <c r="D10" i="18"/>
  <c r="B10" i="18"/>
  <c r="J25" i="23"/>
  <c r="I25" i="23"/>
  <c r="D25" i="23"/>
  <c r="C25" i="23"/>
  <c r="B25" i="23"/>
  <c r="J28" i="23"/>
  <c r="I28" i="23"/>
  <c r="D28" i="23"/>
  <c r="C28" i="23"/>
  <c r="B28" i="23"/>
  <c r="J13" i="18"/>
  <c r="I13" i="18"/>
  <c r="C13" i="18"/>
  <c r="D13" i="18"/>
  <c r="J9" i="18"/>
  <c r="B11" i="20"/>
  <c r="B18" i="20"/>
  <c r="P2" i="22"/>
  <c r="C11" i="20"/>
  <c r="C18" i="20"/>
  <c r="I9" i="23"/>
  <c r="I10" i="23"/>
  <c r="I11" i="23"/>
  <c r="J9" i="23"/>
  <c r="J10" i="23"/>
  <c r="J11" i="23"/>
  <c r="C9" i="23"/>
  <c r="C10" i="23"/>
  <c r="D10" i="23"/>
  <c r="D11" i="23"/>
  <c r="J7" i="23"/>
  <c r="I7" i="23"/>
  <c r="I8" i="23"/>
  <c r="I14" i="23"/>
  <c r="D7" i="23"/>
  <c r="D24" i="23"/>
  <c r="C7" i="23"/>
  <c r="C8" i="23"/>
  <c r="C24" i="23"/>
  <c r="B7" i="23"/>
  <c r="B24" i="23"/>
  <c r="D4" i="23"/>
  <c r="C4" i="23"/>
  <c r="B4" i="23"/>
  <c r="A4" i="23"/>
  <c r="D3" i="23"/>
  <c r="C3" i="23"/>
  <c r="B3" i="23"/>
  <c r="A3" i="23"/>
  <c r="D2" i="23"/>
  <c r="C2" i="23"/>
  <c r="B2" i="23"/>
  <c r="A2" i="23"/>
  <c r="D1" i="23"/>
  <c r="C1" i="23"/>
  <c r="B1" i="23"/>
  <c r="A1" i="23"/>
  <c r="U22" i="24"/>
  <c r="U21" i="24"/>
  <c r="U20" i="24"/>
  <c r="U19" i="24"/>
  <c r="U18" i="24"/>
  <c r="Q18" i="24"/>
  <c r="U17" i="24"/>
  <c r="Q17" i="24"/>
  <c r="U16" i="24"/>
  <c r="R16" i="24"/>
  <c r="P16" i="24"/>
  <c r="U15" i="24"/>
  <c r="U14" i="24"/>
  <c r="U13" i="24"/>
  <c r="U12" i="24"/>
  <c r="R12" i="24"/>
  <c r="U11" i="24"/>
  <c r="R11" i="24"/>
  <c r="P11" i="24"/>
  <c r="U10" i="24"/>
  <c r="P10" i="24"/>
  <c r="U9" i="24"/>
  <c r="R9" i="24"/>
  <c r="U8" i="24"/>
  <c r="U7" i="24"/>
  <c r="U6" i="24"/>
  <c r="U5" i="24"/>
  <c r="U4" i="24"/>
  <c r="E4" i="24"/>
  <c r="U3" i="24"/>
  <c r="E3" i="24"/>
  <c r="U2" i="24"/>
  <c r="G2" i="24"/>
  <c r="E2" i="24"/>
  <c r="J27" i="23"/>
  <c r="I27" i="23"/>
  <c r="D27" i="23"/>
  <c r="C27" i="23"/>
  <c r="B27" i="23"/>
  <c r="J24" i="23"/>
  <c r="J8" i="23"/>
  <c r="J14" i="23"/>
  <c r="J15" i="23"/>
  <c r="J17" i="23"/>
  <c r="D8" i="23"/>
  <c r="I24" i="23"/>
  <c r="D22" i="21"/>
  <c r="E22" i="21"/>
  <c r="D20" i="21"/>
  <c r="E20" i="21"/>
  <c r="E15" i="21"/>
  <c r="E14" i="21"/>
  <c r="E17" i="21"/>
  <c r="Q2" i="22"/>
  <c r="D14" i="21"/>
  <c r="F8" i="21"/>
  <c r="G11" i="20"/>
  <c r="G18" i="20"/>
  <c r="F11" i="20"/>
  <c r="F18" i="20"/>
  <c r="P3" i="22"/>
  <c r="D11" i="20"/>
  <c r="D18" i="20"/>
  <c r="J25" i="19"/>
  <c r="J27" i="19"/>
  <c r="I23" i="19"/>
  <c r="D23" i="19"/>
  <c r="C23" i="19"/>
  <c r="C11" i="23"/>
  <c r="B23" i="19"/>
  <c r="B11" i="23"/>
  <c r="I18" i="19"/>
  <c r="I25" i="19"/>
  <c r="K3" i="22"/>
  <c r="L3" i="22"/>
  <c r="I3" i="22"/>
  <c r="H3" i="22" s="1"/>
  <c r="I27" i="19"/>
  <c r="B18" i="19"/>
  <c r="B10" i="23"/>
  <c r="D13" i="19"/>
  <c r="D9" i="23"/>
  <c r="C13" i="19"/>
  <c r="B13" i="19"/>
  <c r="J25" i="18"/>
  <c r="I25" i="18"/>
  <c r="D25" i="18"/>
  <c r="C25" i="18"/>
  <c r="B25" i="18"/>
  <c r="N3" i="22"/>
  <c r="I15" i="23"/>
  <c r="I17" i="23"/>
  <c r="C14" i="23"/>
  <c r="C15" i="23"/>
  <c r="C17" i="23"/>
  <c r="J16" i="23"/>
  <c r="J18" i="23"/>
  <c r="J19" i="23"/>
  <c r="E23" i="21"/>
  <c r="Q3" i="22"/>
  <c r="B8" i="23"/>
  <c r="B9" i="23"/>
  <c r="K2" i="22"/>
  <c r="L2" i="22"/>
  <c r="I2" i="22"/>
  <c r="N2" i="22"/>
  <c r="D14" i="23"/>
  <c r="D15" i="23"/>
  <c r="D17" i="23"/>
  <c r="B13" i="20"/>
  <c r="E3" i="22"/>
  <c r="G3" i="22" s="1"/>
  <c r="C13" i="20"/>
  <c r="D13" i="20"/>
  <c r="F13" i="20"/>
  <c r="O3" i="22"/>
  <c r="G13" i="20"/>
  <c r="B26" i="23"/>
  <c r="D26" i="23"/>
  <c r="J26" i="23"/>
  <c r="C26" i="23"/>
  <c r="I26" i="23"/>
  <c r="B14" i="23"/>
  <c r="B15" i="23"/>
  <c r="B17" i="23"/>
  <c r="D16" i="23"/>
  <c r="D18" i="23"/>
  <c r="D19" i="23"/>
  <c r="D31" i="23"/>
  <c r="J31" i="23"/>
  <c r="O2" i="22"/>
  <c r="C16" i="23"/>
  <c r="C18" i="23"/>
  <c r="C19" i="23"/>
  <c r="C31" i="23"/>
  <c r="I16" i="23"/>
  <c r="I18" i="23"/>
  <c r="I19" i="23"/>
  <c r="I31" i="23"/>
  <c r="H31" i="23"/>
  <c r="M3" i="22"/>
  <c r="B16" i="23"/>
  <c r="B18" i="23"/>
  <c r="B19" i="23"/>
  <c r="B31" i="23"/>
  <c r="A31" i="23"/>
  <c r="M2" i="22"/>
  <c r="B13" i="18"/>
  <c r="E2" i="22"/>
  <c r="G2" i="22" s="1"/>
  <c r="H2" i="22" l="1"/>
</calcChain>
</file>

<file path=xl/comments1.xml><?xml version="1.0" encoding="utf-8"?>
<comments xmlns="http://schemas.openxmlformats.org/spreadsheetml/2006/main">
  <authors>
    <author>notz</author>
  </authors>
  <commentList>
    <comment ref="F1" authorId="0" shapeId="0">
      <text>
        <r>
          <rPr>
            <b/>
            <sz val="9"/>
            <color indexed="81"/>
            <rFont val="Segoe UI"/>
            <family val="2"/>
          </rPr>
          <t>notz:</t>
        </r>
        <r>
          <rPr>
            <sz val="9"/>
            <color indexed="81"/>
            <rFont val="Segoe UI"/>
            <family val="2"/>
          </rPr>
          <t xml:space="preserve">
Only available for compared cropping systems that include legumes other than soybean, as a calculator to detect the actual feed value is used, that is based on soybean and wheat prices.</t>
        </r>
      </text>
    </comment>
    <comment ref="G1" authorId="0" shapeId="0">
      <text>
        <r>
          <rPr>
            <b/>
            <sz val="9"/>
            <color indexed="81"/>
            <rFont val="Segoe UI"/>
            <family val="2"/>
          </rPr>
          <t>notz:</t>
        </r>
        <r>
          <rPr>
            <sz val="9"/>
            <color indexed="81"/>
            <rFont val="Segoe UI"/>
            <family val="2"/>
          </rPr>
          <t xml:space="preserve">
Assumes a carbon tax of 150€/t CO2 on mineral fertilizer inputs.
(extreme scenario if CC mitigation strategies become more important)</t>
        </r>
      </text>
    </comment>
    <comment ref="H1" authorId="0" shapeId="0">
      <text>
        <r>
          <rPr>
            <b/>
            <sz val="9"/>
            <color indexed="81"/>
            <rFont val="Segoe UI"/>
            <family val="2"/>
          </rPr>
          <t>notz:</t>
        </r>
        <r>
          <rPr>
            <sz val="9"/>
            <color indexed="81"/>
            <rFont val="Segoe UI"/>
            <family val="2"/>
          </rPr>
          <t xml:space="preserve">
Assumes a carbon tax of 50€/t CO2 on mineral fertilizer inputs.
(more realistic scenario in the next few years )</t>
        </r>
      </text>
    </comment>
  </commentList>
</comments>
</file>

<file path=xl/comments2.xml><?xml version="1.0" encoding="utf-8"?>
<comments xmlns="http://schemas.openxmlformats.org/spreadsheetml/2006/main">
  <authors>
    <author>notz</author>
  </authors>
  <commentList>
    <comment ref="K7" authorId="0" shapeId="0">
      <text>
        <r>
          <rPr>
            <b/>
            <sz val="9"/>
            <color indexed="81"/>
            <rFont val="Segoe UI"/>
            <family val="2"/>
          </rPr>
          <t>notz:</t>
        </r>
        <r>
          <rPr>
            <sz val="9"/>
            <color indexed="81"/>
            <rFont val="Segoe UI"/>
            <family val="2"/>
          </rPr>
          <t xml:space="preserve">
In order to increase comparability we used a price average from all years for corn.</t>
        </r>
      </text>
    </comment>
  </commentList>
</comments>
</file>

<file path=xl/sharedStrings.xml><?xml version="1.0" encoding="utf-8"?>
<sst xmlns="http://schemas.openxmlformats.org/spreadsheetml/2006/main" count="981" uniqueCount="433">
  <si>
    <t>Soil type</t>
  </si>
  <si>
    <t>Field size</t>
  </si>
  <si>
    <t>Name of crop</t>
  </si>
  <si>
    <t>Use of crop (grain, silage, biomass,…)</t>
  </si>
  <si>
    <t>C to N ratio of SOM</t>
  </si>
  <si>
    <t>Ploughing</t>
  </si>
  <si>
    <t>Harrowing</t>
  </si>
  <si>
    <t>Seedbed preparation</t>
  </si>
  <si>
    <t>Seeds</t>
  </si>
  <si>
    <t>Specify</t>
  </si>
  <si>
    <t>Machinery used</t>
  </si>
  <si>
    <t>Fertilisation</t>
  </si>
  <si>
    <t>N-fertiliser</t>
  </si>
  <si>
    <t>P-fertiliser</t>
  </si>
  <si>
    <t>K-fertiliser</t>
  </si>
  <si>
    <t>N-P-K fertiliser</t>
  </si>
  <si>
    <t>S-fertiliser</t>
  </si>
  <si>
    <t>CaCO3</t>
  </si>
  <si>
    <t>Compost</t>
  </si>
  <si>
    <t>Manure</t>
  </si>
  <si>
    <t>Application method</t>
  </si>
  <si>
    <t>Plant protection</t>
  </si>
  <si>
    <t>Pesticide</t>
  </si>
  <si>
    <t>Total number of applications</t>
  </si>
  <si>
    <t>Herbicide</t>
  </si>
  <si>
    <t>Fungicide</t>
  </si>
  <si>
    <t>Harvest</t>
  </si>
  <si>
    <t>Harvesting</t>
  </si>
  <si>
    <t>Residue treatment</t>
  </si>
  <si>
    <t>Post-harvest treatment</t>
  </si>
  <si>
    <t>Output</t>
  </si>
  <si>
    <t>Variable costs</t>
  </si>
  <si>
    <t>Type</t>
  </si>
  <si>
    <t>Other fertiliser used?</t>
  </si>
  <si>
    <t>Residue removed</t>
  </si>
  <si>
    <t>Yield</t>
  </si>
  <si>
    <t>Costs of seeds (Unit [EUR/ha])</t>
  </si>
  <si>
    <t>Mechani-sation</t>
  </si>
  <si>
    <t>Please describe the crop rotation.</t>
  </si>
  <si>
    <t>Crop rotation</t>
  </si>
  <si>
    <t>Notes for completing</t>
  </si>
  <si>
    <t xml:space="preserve"> Description with units</t>
  </si>
  <si>
    <t>Costs of crop protection measures (Unit [EUR/ha])</t>
  </si>
  <si>
    <t>Total variable costs of machinery (Unit [EUR/ha])</t>
  </si>
  <si>
    <t>Costs of irrigation (Unit [EUR/ha])</t>
  </si>
  <si>
    <t>Costs of insurcance (Unit [EUR/ha])</t>
  </si>
  <si>
    <t>Drying costs, cleaning costs (Unit [EUR/ha])</t>
  </si>
  <si>
    <t>Total variable costs  (Unit [EUR/ha])</t>
  </si>
  <si>
    <t>CROP 1</t>
  </si>
  <si>
    <t>CROP 2</t>
  </si>
  <si>
    <t>CROP 3</t>
  </si>
  <si>
    <t xml:space="preserve">Organic carbon content of the top soil </t>
  </si>
  <si>
    <t xml:space="preserve">Bulk densitiy of top soil </t>
  </si>
  <si>
    <t>Topsoil</t>
  </si>
  <si>
    <t xml:space="preserve">Annual mineralisation rate </t>
  </si>
  <si>
    <t>Water holding capacity in the root zone</t>
  </si>
  <si>
    <t>Precipitation in the winter half (mm)</t>
  </si>
  <si>
    <t>Annual precipitation (mm)</t>
  </si>
  <si>
    <t>Please indicate the name of the region (e.g. Brandenburg) and the code according to the specification of the territorial statistical units of the second level (NUTS 2*) (e.g. DE40 ).</t>
  </si>
  <si>
    <t>Region</t>
  </si>
  <si>
    <t>Site</t>
  </si>
  <si>
    <t>Please indicate the local name of the site within the region e.g. name of the soil type, class…</t>
  </si>
  <si>
    <t>Please describe the typical soil type of your region (e.g. sandy loam).</t>
  </si>
  <si>
    <t xml:space="preserve">If you do not have the following information we will help you and might use default values. </t>
  </si>
  <si>
    <t>Please indicate the average AZ (e.g. 49)</t>
  </si>
  <si>
    <t xml:space="preserve">Please indicate the carbon to nitrogen ratio of the soil organic matter (e.g. 11). </t>
  </si>
  <si>
    <t>Only for Germany: Average german soil rating index</t>
  </si>
  <si>
    <t>Cover crop (following the crop above)</t>
  </si>
  <si>
    <t>Variety</t>
  </si>
  <si>
    <t>Mechanical weed management</t>
  </si>
  <si>
    <t>Total costs of fertilizer (Unit [EUR/ha])</t>
  </si>
  <si>
    <t>Subsidies (general + specific per crop (Unit [EUR/ha])</t>
  </si>
  <si>
    <t>Content of N, P, K in the fertiliser (%)</t>
  </si>
  <si>
    <t>Year</t>
  </si>
  <si>
    <t>Please indicate the years of cultivation (e.g. 2015-2018).</t>
  </si>
  <si>
    <r>
      <t>Amount [kg/ha</t>
    </r>
    <r>
      <rPr>
        <sz val="11"/>
        <color theme="1"/>
        <rFont val="Calibri"/>
        <family val="2"/>
        <scheme val="minor"/>
      </rPr>
      <t>]</t>
    </r>
  </si>
  <si>
    <t>Please indicate the average field size [ha].</t>
  </si>
  <si>
    <t>Please indicate the average C_org [% C in DM] (e.g. 0,9%)</t>
  </si>
  <si>
    <r>
      <t>Please indicate the bulk density of the top soil [g/cm³] (e.g. 1,5g/cm</t>
    </r>
    <r>
      <rPr>
        <vertAlign val="superscript"/>
        <sz val="11"/>
        <color theme="1"/>
        <rFont val="Calibri"/>
        <family val="2"/>
        <scheme val="minor"/>
      </rPr>
      <t>3</t>
    </r>
    <r>
      <rPr>
        <sz val="11"/>
        <color theme="1"/>
        <rFont val="Calibri"/>
        <family val="2"/>
        <scheme val="minor"/>
      </rPr>
      <t>).</t>
    </r>
  </si>
  <si>
    <t>Please indicate the depth of the top soil layer [cm] (e.g. 30 cm).</t>
  </si>
  <si>
    <t>Please indicate the annual mineralisation rate [%] (e.g. 1,7%).</t>
  </si>
  <si>
    <t xml:space="preserve">Please indicate the water holding capacity in the root zone [mm] (e.g. 400mm). </t>
  </si>
  <si>
    <t xml:space="preserve">Please indicate the annual precipitation [mm] (e.g. 510mm). </t>
  </si>
  <si>
    <t xml:space="preserve">Please indicate the precipitation in the winter half, from October to March [mm] (e.g.220mm). </t>
  </si>
  <si>
    <t xml:space="preserve">Amount [t/ha] </t>
  </si>
  <si>
    <t xml:space="preserve">Yield [t/ha] </t>
  </si>
  <si>
    <t>Number of year</t>
  </si>
  <si>
    <t>Crop [name of crop]:</t>
  </si>
  <si>
    <t>Organic fertilizers</t>
  </si>
  <si>
    <t>Composition</t>
  </si>
  <si>
    <t>Mineral fertilizers</t>
  </si>
  <si>
    <r>
      <t>Total amount [kg or m</t>
    </r>
    <r>
      <rPr>
        <vertAlign val="superscript"/>
        <sz val="11"/>
        <color theme="1"/>
        <rFont val="Calibri"/>
        <family val="2"/>
        <scheme val="minor"/>
      </rPr>
      <t>3</t>
    </r>
    <r>
      <rPr>
        <sz val="11"/>
        <color theme="1"/>
        <rFont val="Calibri"/>
        <family val="2"/>
        <scheme val="minor"/>
      </rPr>
      <t>/ha]</t>
    </r>
  </si>
  <si>
    <t>Amount [kg or l/ha]</t>
  </si>
  <si>
    <t>Total amount [kg or l/ha]</t>
  </si>
  <si>
    <t>Left on the field</t>
  </si>
  <si>
    <t>Ploughed before next crop</t>
  </si>
  <si>
    <t>Please specify if machinery was used for:</t>
  </si>
  <si>
    <t>Please indicate the variety, amount of seeds and machinery used.</t>
  </si>
  <si>
    <t>Please indicate the specific fertiliser types, composition, application methods, total amounts and total number of applications applied.</t>
  </si>
  <si>
    <t>Please indicate the specific plant protection measures, application methods, amounts and total number of applications.</t>
  </si>
  <si>
    <t>Please specify  the harvesting process, including residue treatemant and post-harvest treatment and name machinery used.</t>
  </si>
  <si>
    <t>Please specify the yield and residues removed, name machinery used and the average selling price of the crop.</t>
  </si>
  <si>
    <t>Crop internally used (e.g. as feed) or sold?</t>
  </si>
  <si>
    <t>Solid</t>
  </si>
  <si>
    <t>liquid</t>
  </si>
  <si>
    <t>Other fertiliser used</t>
  </si>
  <si>
    <t>Spreader</t>
  </si>
  <si>
    <t xml:space="preserve">Please indicate the specific costs of production, the total variable costs and subsidies. </t>
  </si>
  <si>
    <t>Date:</t>
  </si>
  <si>
    <t>Date</t>
  </si>
  <si>
    <t>Date/ Period</t>
  </si>
  <si>
    <t>Friuli Venezia Giulia</t>
  </si>
  <si>
    <t>Hypercalci-Gleyic Calcisols</t>
  </si>
  <si>
    <t>2018-2019</t>
  </si>
  <si>
    <t>Silty loam soil, poor in skeleton,  sub alkaline or neutral</t>
  </si>
  <si>
    <t>1,5 - 2 ha</t>
  </si>
  <si>
    <t>1300-1400 mm</t>
  </si>
  <si>
    <t>Zea Mays</t>
  </si>
  <si>
    <t>grain</t>
  </si>
  <si>
    <t>sold</t>
  </si>
  <si>
    <t>semimounted-plough</t>
  </si>
  <si>
    <t>power harrow</t>
  </si>
  <si>
    <t>cultivator</t>
  </si>
  <si>
    <t>pneumatic seed drill</t>
  </si>
  <si>
    <t>Urea</t>
  </si>
  <si>
    <t>Date:  24/04/2018</t>
  </si>
  <si>
    <t>Combine</t>
  </si>
  <si>
    <t>Date: 2/11/17</t>
  </si>
  <si>
    <t>Date: 23/04/18</t>
  </si>
  <si>
    <t>Date: 21/04/18</t>
  </si>
  <si>
    <t>Adengo</t>
  </si>
  <si>
    <t>DKC5830</t>
  </si>
  <si>
    <t>9 seed/m2</t>
  </si>
  <si>
    <t>----</t>
  </si>
  <si>
    <t>Soybean</t>
  </si>
  <si>
    <t>Date: 15/10/2018</t>
  </si>
  <si>
    <t>Date: 05/06/2019</t>
  </si>
  <si>
    <t>Date:03/06/2019</t>
  </si>
  <si>
    <t>EM SOLE</t>
  </si>
  <si>
    <t>42 seed/m2</t>
  </si>
  <si>
    <t xml:space="preserve"> 05/06/2019</t>
  </si>
  <si>
    <t>UMOSTART G MAXI</t>
  </si>
  <si>
    <t>in the seed line</t>
  </si>
  <si>
    <t>Bismark</t>
  </si>
  <si>
    <t>Song 70 WDG</t>
  </si>
  <si>
    <t>mounted Sprayer</t>
  </si>
  <si>
    <t>N 46%</t>
  </si>
  <si>
    <t>Coragen</t>
  </si>
  <si>
    <t>Self-propelled sprayers</t>
  </si>
  <si>
    <t>no</t>
  </si>
  <si>
    <t>corn harvester</t>
  </si>
  <si>
    <t>9 seeds/m2</t>
  </si>
  <si>
    <t>300</t>
  </si>
  <si>
    <t>65(Herb)30-35(Ins)</t>
  </si>
  <si>
    <t>if necesary 200-220</t>
  </si>
  <si>
    <t>row crop cultivator</t>
  </si>
  <si>
    <t>end-giu/begin-luy</t>
  </si>
  <si>
    <t>600-700 (value including the contractor's performance)*</t>
  </si>
  <si>
    <t>*as variable machinery costs, we considered the price that a landowner have to pay for the  services to a subcontractor for the operations of:
plowing
harrowing
sowing
herbicide spraying 
mechanical weeding
harvest with transport</t>
  </si>
  <si>
    <t>*as variable machinery costs, we considered the price that a landowner have to pay for the  services to a subcontractor for the operations of:
plowing
harrowing
sowing
herbicide spraying 
insecticide spraying 
harvest with transport</t>
  </si>
  <si>
    <t>semi-mounted plough</t>
  </si>
  <si>
    <t>Date: last week April</t>
  </si>
  <si>
    <t>Date: before seeding</t>
  </si>
  <si>
    <t>Date: mid march</t>
  </si>
  <si>
    <t>glyphosate</t>
  </si>
  <si>
    <t>mounted sprayer</t>
  </si>
  <si>
    <t>before ploughing</t>
  </si>
  <si>
    <t>spread</t>
  </si>
  <si>
    <t>diammonium phosphate</t>
  </si>
  <si>
    <t>at seeding</t>
  </si>
  <si>
    <t>in seeding row</t>
  </si>
  <si>
    <r>
      <t>at 3</t>
    </r>
    <r>
      <rPr>
        <vertAlign val="superscript"/>
        <sz val="11"/>
        <color theme="1"/>
        <rFont val="Calibri"/>
        <family val="2"/>
        <scheme val="minor"/>
      </rPr>
      <t>th</t>
    </r>
    <r>
      <rPr>
        <sz val="11"/>
        <color theme="1"/>
        <rFont val="Calibri"/>
        <family val="2"/>
        <scheme val="minor"/>
      </rPr>
      <t xml:space="preserve"> leaf and 7-8th leaf</t>
    </r>
  </si>
  <si>
    <t>after seeding before emrgence</t>
  </si>
  <si>
    <t>4-5 l</t>
  </si>
  <si>
    <t>Pre-emergence (adengo)</t>
  </si>
  <si>
    <t>first week october</t>
  </si>
  <si>
    <t>yes</t>
  </si>
  <si>
    <t>spread in seeding row</t>
  </si>
  <si>
    <t>12 kg</t>
  </si>
  <si>
    <t>1,5 l</t>
  </si>
  <si>
    <t>Force ultra (insecticide)</t>
  </si>
  <si>
    <t>mid July</t>
  </si>
  <si>
    <t>300-400</t>
  </si>
  <si>
    <t>200-250</t>
  </si>
  <si>
    <t>≈700 (value including the contractor's performance)*</t>
  </si>
  <si>
    <t>Corn2017</t>
  </si>
  <si>
    <t>Corn2018</t>
  </si>
  <si>
    <t>Corn2019</t>
  </si>
  <si>
    <t>EXAMPLE - Crop [name of crop]: CORN</t>
  </si>
  <si>
    <t>FRIULI REGION</t>
  </si>
  <si>
    <t>Here a theoretical model of a corn monoculture is presented. Due to current Cross compliance rules of EU it is currently not implemented. Before these regulations, Diabrotica and Agriotes were limiting pests. These were addressed with the Insecticide "Focus Ultra" while seeding. 
But the more effective measure was: Farmers decided to insert a break-crop to mitigate the problem and to achieve an acceptable gross margin: soya.</t>
  </si>
  <si>
    <t>≈70 (60-70% of the farmers are having an insurance)</t>
  </si>
  <si>
    <t xml:space="preserve">Yield [Dt/ha] </t>
  </si>
  <si>
    <t>Crop [name of crop]: Soybean</t>
  </si>
  <si>
    <t xml:space="preserve"> ≈300</t>
  </si>
  <si>
    <t xml:space="preserve">Contact person:
</t>
  </si>
  <si>
    <t>How representative are the data?</t>
  </si>
  <si>
    <t>Data representing practical farming?</t>
  </si>
  <si>
    <t>Yes</t>
  </si>
  <si>
    <t>Data coming from averages over several years?</t>
  </si>
  <si>
    <t>No</t>
  </si>
  <si>
    <t>Data for yield stability?</t>
  </si>
  <si>
    <t>Average yields from this data cannot be compared with the data in the rotations!</t>
  </si>
  <si>
    <t>Can differences between the rotations be traced back to the presence of the legume alone?</t>
  </si>
  <si>
    <t>There are also differences in the management and yield of the other crops.</t>
  </si>
  <si>
    <r>
      <rPr>
        <b/>
        <sz val="11"/>
        <color theme="1"/>
        <rFont val="Calibri"/>
        <family val="2"/>
        <scheme val="minor"/>
      </rPr>
      <t>Acknowledgement to:</t>
    </r>
    <r>
      <rPr>
        <sz val="11"/>
        <color theme="1"/>
        <rFont val="Calibri"/>
        <family val="2"/>
        <scheme val="minor"/>
      </rPr>
      <t xml:space="preserve">
</t>
    </r>
  </si>
  <si>
    <t>18% N, 46% P2O5</t>
  </si>
  <si>
    <t>OM 16%, N 0,4%, P 0,1%, K 0,3%</t>
  </si>
  <si>
    <t>Cattle manure</t>
  </si>
  <si>
    <t>200+200</t>
  </si>
  <si>
    <t>≈150 (manure) + ≈300 (mineral fertilizer)</t>
  </si>
  <si>
    <t>20t</t>
  </si>
  <si>
    <t>≈800-900 (value including the contractor's performance)*</t>
  </si>
  <si>
    <t>30e (Glyphosate) 70-100e(Adengo)30-35e(Coragen) 100e (Force ultra)</t>
  </si>
  <si>
    <t>12% N, 12% P, 12%K, 14% SO3, 6% CaO</t>
  </si>
  <si>
    <t>Yara tris (https://www.yara.it/nutrizionedellecolture/prodotti/yaramila/yaramila-tris/)</t>
  </si>
  <si>
    <t>7%N, 68%P</t>
  </si>
  <si>
    <t xml:space="preserve">2. Leopold Rittler, Donau Soja, Vienna. Contact: rittler@donausoja.org   </t>
  </si>
  <si>
    <t>1. Filippo Lazzari, Sipcam Italia. Contact: flazzari@sipcam.it</t>
  </si>
  <si>
    <t xml:space="preserve">The data for the rotation with legumes are coming from a farm and are refering to an actually cultivated rotation in 2018-2019. </t>
  </si>
  <si>
    <t>The crop rotation with legumes are actually cultivated in the production years 2018-2019 and are not representative for a longer time period.</t>
  </si>
  <si>
    <t>Data are coming from the ISTAT for the Friuli region (Italian National Institute of Statistics).</t>
  </si>
  <si>
    <t>The data for the rotations without legumes is a theoretical model of a corn monoculture that is currently not implemented due to Cross compliance rules of the EU.</t>
  </si>
  <si>
    <t xml:space="preserve">Donau Soja and partners (Italy (Sipcam, F. Lazzari), Romania (ARDS Turda, R. Rezi &amp; ARDS Secuieni, S. Pochiscanu-Isticioaia), Austria (Donau Soja, L. Rittler), Ukraine (Donau Soja, I. Korchahina, A. Radiuk))  </t>
  </si>
  <si>
    <t>The origin of the yield, management and economic data for the theoretical model of the corn monoculture are an average of some real productions of that area for the respective years (2017,2018,2019).</t>
  </si>
  <si>
    <t>The rotation with legume are typical in terms of crop choice and management for Italy. Soybean are frequently included in rotations in Northern Italy.</t>
  </si>
  <si>
    <t>Crop 1</t>
  </si>
  <si>
    <t>Crop 2</t>
  </si>
  <si>
    <t>Crop 3</t>
  </si>
  <si>
    <t xml:space="preserve">Without legumes: </t>
  </si>
  <si>
    <t>Corn</t>
  </si>
  <si>
    <t xml:space="preserve">With legumes: </t>
  </si>
  <si>
    <t>Seed</t>
  </si>
  <si>
    <t>Fertilizer</t>
  </si>
  <si>
    <t>Crop protection</t>
  </si>
  <si>
    <t>Maize</t>
  </si>
  <si>
    <t>Diammonium phosphate</t>
  </si>
  <si>
    <t>Yara tris</t>
  </si>
  <si>
    <t>Content N</t>
  </si>
  <si>
    <t>12% N</t>
  </si>
  <si>
    <t>Ammonium nitrate</t>
  </si>
  <si>
    <t>Yield DM</t>
  </si>
  <si>
    <r>
      <t xml:space="preserve">HS = - </t>
    </r>
    <r>
      <rPr>
        <sz val="11"/>
        <color theme="1"/>
        <rFont val="Calibri"/>
        <family val="2"/>
      </rPr>
      <t>∑</t>
    </r>
    <r>
      <rPr>
        <sz val="11"/>
        <color theme="1"/>
        <rFont val="Calibri"/>
        <family val="2"/>
        <scheme val="minor"/>
      </rPr>
      <t>pi ln pi</t>
    </r>
  </si>
  <si>
    <r>
      <t>H</t>
    </r>
    <r>
      <rPr>
        <vertAlign val="subscript"/>
        <sz val="11"/>
        <color theme="1"/>
        <rFont val="Calibri"/>
        <family val="2"/>
        <scheme val="minor"/>
      </rPr>
      <t>max</t>
    </r>
    <r>
      <rPr>
        <sz val="11"/>
        <color theme="1"/>
        <rFont val="Calibri"/>
        <family val="2"/>
        <scheme val="minor"/>
      </rPr>
      <t>=ln S</t>
    </r>
  </si>
  <si>
    <r>
      <t>H</t>
    </r>
    <r>
      <rPr>
        <vertAlign val="subscript"/>
        <sz val="11"/>
        <color theme="1"/>
        <rFont val="Calibri"/>
        <family val="2"/>
        <scheme val="minor"/>
      </rPr>
      <t>max</t>
    </r>
    <r>
      <rPr>
        <sz val="11"/>
        <color theme="1"/>
        <rFont val="Calibri"/>
        <family val="2"/>
        <scheme val="minor"/>
      </rPr>
      <t>:</t>
    </r>
  </si>
  <si>
    <t>Crop species</t>
  </si>
  <si>
    <t>Share in crop rotation</t>
  </si>
  <si>
    <r>
      <t>p</t>
    </r>
    <r>
      <rPr>
        <vertAlign val="subscript"/>
        <sz val="11"/>
        <color theme="1"/>
        <rFont val="Calibri"/>
        <family val="2"/>
        <scheme val="minor"/>
      </rPr>
      <t>i</t>
    </r>
  </si>
  <si>
    <r>
      <t>ln p</t>
    </r>
    <r>
      <rPr>
        <vertAlign val="subscript"/>
        <sz val="11"/>
        <color theme="1"/>
        <rFont val="Calibri"/>
        <family val="2"/>
        <scheme val="minor"/>
      </rPr>
      <t>i</t>
    </r>
  </si>
  <si>
    <t>ln pi x pi</t>
  </si>
  <si>
    <t>Without legumes</t>
  </si>
  <si>
    <t>Cereal crop</t>
  </si>
  <si>
    <t>Leaf crop</t>
  </si>
  <si>
    <t>Legume</t>
  </si>
  <si>
    <t>With legumes</t>
  </si>
  <si>
    <t>Gross margin (prices feed calculator)</t>
  </si>
  <si>
    <t>GM with CO2 tax I</t>
  </si>
  <si>
    <t>GM with CO2 tax II</t>
  </si>
  <si>
    <t>N fertilizer use [kg/ha]</t>
  </si>
  <si>
    <t>Mineral fertilizer input [kg/ha]</t>
  </si>
  <si>
    <r>
      <t>N fertilizer in kg CO</t>
    </r>
    <r>
      <rPr>
        <vertAlign val="subscript"/>
        <sz val="11"/>
        <color indexed="8"/>
        <rFont val="Calibri"/>
        <family val="2"/>
      </rPr>
      <t>2</t>
    </r>
    <r>
      <rPr>
        <sz val="11"/>
        <color indexed="8"/>
        <rFont val="Calibri"/>
        <family val="2"/>
      </rPr>
      <t>e</t>
    </r>
  </si>
  <si>
    <r>
      <t>N</t>
    </r>
    <r>
      <rPr>
        <vertAlign val="subscript"/>
        <sz val="11"/>
        <color indexed="8"/>
        <rFont val="Calibri"/>
        <family val="2"/>
      </rPr>
      <t>2</t>
    </r>
    <r>
      <rPr>
        <sz val="11"/>
        <color indexed="8"/>
        <rFont val="Calibri"/>
        <family val="2"/>
      </rPr>
      <t>O emissions [kg/ha]</t>
    </r>
  </si>
  <si>
    <t>Protein yield [kg/ha]</t>
  </si>
  <si>
    <t>Crop diversity</t>
  </si>
  <si>
    <t>Coefficient of variation</t>
  </si>
  <si>
    <t>N fertilizers</t>
  </si>
  <si>
    <t>Yield stability (CV)</t>
  </si>
  <si>
    <t>Crop</t>
  </si>
  <si>
    <t>Dry matter fraction of harvested product (DRY):</t>
  </si>
  <si>
    <t>Generic values for crops not indicated below</t>
  </si>
  <si>
    <t>Generic Grains</t>
  </si>
  <si>
    <t>Winter Wheat</t>
  </si>
  <si>
    <t>Spring Wheat</t>
  </si>
  <si>
    <t>Barley</t>
  </si>
  <si>
    <t>Oats</t>
  </si>
  <si>
    <t>Rye</t>
  </si>
  <si>
    <t>Rice</t>
  </si>
  <si>
    <t>Millet</t>
  </si>
  <si>
    <t>Sorghum</t>
  </si>
  <si>
    <t>Beans and Pulses</t>
  </si>
  <si>
    <t>Soybeans</t>
  </si>
  <si>
    <t>Potatoes and Tubers</t>
  </si>
  <si>
    <t>Peanuts</t>
  </si>
  <si>
    <t>Alfafa</t>
  </si>
  <si>
    <t>Non-legume hay</t>
  </si>
  <si>
    <t>N-fixing forage</t>
  </si>
  <si>
    <t>Non-N-fixing forage</t>
  </si>
  <si>
    <t>Perennial Grasses</t>
  </si>
  <si>
    <t>Grass-Clover Mixtures</t>
  </si>
  <si>
    <t>Climate</t>
  </si>
  <si>
    <t>wet</t>
  </si>
  <si>
    <t>FracGas</t>
  </si>
  <si>
    <t>Leaching</t>
  </si>
  <si>
    <t>Residue N</t>
  </si>
  <si>
    <t>Above</t>
  </si>
  <si>
    <t>Below</t>
  </si>
  <si>
    <t>N2O above</t>
  </si>
  <si>
    <t>N2O below</t>
  </si>
  <si>
    <t>Total</t>
  </si>
  <si>
    <t>N2O-N emissions</t>
  </si>
  <si>
    <t>Fert</t>
  </si>
  <si>
    <t>Volat</t>
  </si>
  <si>
    <t>Residue</t>
  </si>
  <si>
    <t>N2O emissions</t>
  </si>
  <si>
    <t>dry</t>
  </si>
  <si>
    <t>Convert to kg N2O</t>
  </si>
  <si>
    <t>FracGasF / FracGasM</t>
  </si>
  <si>
    <t>ID for mapping</t>
  </si>
  <si>
    <t>N content above-ground residues Nag(T):</t>
  </si>
  <si>
    <t>N content below-ground residues  Nbg(T):</t>
  </si>
  <si>
    <t xml:space="preserve"> Ratio above-ground residues dry matter to harvest yield
Rag (T):</t>
  </si>
  <si>
    <t>Ratio of below ground biomass to above ground biomass RS(T):</t>
  </si>
  <si>
    <t>FracRenew</t>
  </si>
  <si>
    <t>Straw DM</t>
  </si>
  <si>
    <t>EF1 - synthetic fert</t>
  </si>
  <si>
    <t>Value for Urea</t>
  </si>
  <si>
    <t>EF1 - organic N</t>
  </si>
  <si>
    <t>Ammonium</t>
  </si>
  <si>
    <t>Value for Ammonium based</t>
  </si>
  <si>
    <t>EF4</t>
  </si>
  <si>
    <t>Nitrate</t>
  </si>
  <si>
    <t>Value for Nitrate based</t>
  </si>
  <si>
    <t>AN</t>
  </si>
  <si>
    <t>Value for ammonium-Nitrate based</t>
  </si>
  <si>
    <t>Nutribor</t>
  </si>
  <si>
    <t>Default</t>
  </si>
  <si>
    <t>FYM</t>
  </si>
  <si>
    <t>NPK</t>
  </si>
  <si>
    <t>NH4NO3</t>
  </si>
  <si>
    <t>Euroserial Duo</t>
  </si>
  <si>
    <t>Sulfano</t>
  </si>
  <si>
    <t>DAP</t>
  </si>
  <si>
    <t>Lebosol</t>
  </si>
  <si>
    <t>CAN</t>
  </si>
  <si>
    <t>Urea 120</t>
  </si>
  <si>
    <t>N8P16K20 +SO3+B</t>
  </si>
  <si>
    <t>MAP</t>
  </si>
  <si>
    <t>Other</t>
  </si>
  <si>
    <t>NP</t>
  </si>
  <si>
    <t>Anhydrous ammonia</t>
  </si>
  <si>
    <t>Diammofoska</t>
  </si>
  <si>
    <t>Ammonium sulfate</t>
  </si>
  <si>
    <t>Nitroamofoska</t>
  </si>
  <si>
    <t>Urea (carbamide)</t>
  </si>
  <si>
    <t>VK gelb</t>
  </si>
  <si>
    <t>NAC</t>
  </si>
  <si>
    <t>KAS</t>
  </si>
  <si>
    <t>Alzon</t>
  </si>
  <si>
    <t>IPCCID</t>
  </si>
  <si>
    <t>Faba bean</t>
  </si>
  <si>
    <t>Field pea</t>
  </si>
  <si>
    <t>Spring barley</t>
  </si>
  <si>
    <t>Winter barley</t>
  </si>
  <si>
    <t>Winter oat</t>
  </si>
  <si>
    <t>Winter rape</t>
  </si>
  <si>
    <t>Winter wheat</t>
  </si>
  <si>
    <t>Soya</t>
  </si>
  <si>
    <t>Sunflower</t>
  </si>
  <si>
    <t>Dry bean</t>
  </si>
  <si>
    <t>Forage pea</t>
  </si>
  <si>
    <t>Yield [t/ha]</t>
  </si>
  <si>
    <t>N fertilizer [kg/ha]</t>
  </si>
  <si>
    <t>N manure P [kg/ha]</t>
  </si>
  <si>
    <t>N input [kg/ha]</t>
  </si>
  <si>
    <t>N mineralization [kg/ha]</t>
  </si>
  <si>
    <t>N dfS [kg/ha]</t>
  </si>
  <si>
    <t>N surplus [kg/ha]</t>
  </si>
  <si>
    <t>N leaching [kg/ha]</t>
  </si>
  <si>
    <t>Leaching probability</t>
  </si>
  <si>
    <t>Energy output [GJ/ha]</t>
  </si>
  <si>
    <t>Crude protein [% DM]</t>
  </si>
  <si>
    <t>Gross energy [GJ/t DM]</t>
  </si>
  <si>
    <t xml:space="preserve">Rye </t>
  </si>
  <si>
    <t>Tritcale</t>
  </si>
  <si>
    <t>Wheat</t>
  </si>
  <si>
    <t>Rapeseeds</t>
  </si>
  <si>
    <t>Blue lupin</t>
  </si>
  <si>
    <t>Pea seeds</t>
  </si>
  <si>
    <t>Oat</t>
  </si>
  <si>
    <t>Maize silage</t>
  </si>
  <si>
    <t>Alfalfa</t>
  </si>
  <si>
    <t>Maize grain</t>
  </si>
  <si>
    <t>Common bean</t>
  </si>
  <si>
    <t>Pea forage</t>
  </si>
  <si>
    <t>Sugar beet roots</t>
  </si>
  <si>
    <t>Red clover</t>
  </si>
  <si>
    <t>Grass</t>
  </si>
  <si>
    <t>Barley silage</t>
  </si>
  <si>
    <t>Pea forage(60%)/barley silage (40%)</t>
  </si>
  <si>
    <t>Wheat forage</t>
  </si>
  <si>
    <t>Grass-clover</t>
  </si>
  <si>
    <t>Data source: IPCC guidelines for national greenhouse gas inventories</t>
  </si>
  <si>
    <t xml:space="preserve">Data source: </t>
  </si>
  <si>
    <t xml:space="preserve">https://www.feedipedia.org/ </t>
  </si>
  <si>
    <t>https://www.feedtables.com/</t>
  </si>
  <si>
    <t>Yield FM [t/ha]</t>
  </si>
  <si>
    <t>DM content</t>
  </si>
  <si>
    <t>Yield DM [t/ha]</t>
  </si>
  <si>
    <t>Protein output [t/ha]</t>
  </si>
  <si>
    <t>Protein output rotations [kg/ha]</t>
  </si>
  <si>
    <t xml:space="preserve">Energy output rotations [GJ/ha] </t>
  </si>
  <si>
    <t>Price [€/t]</t>
  </si>
  <si>
    <t>Revenue [€/ha]</t>
  </si>
  <si>
    <t>Straw [t/ha]</t>
  </si>
  <si>
    <t>Variable costs [€/ha]</t>
  </si>
  <si>
    <t>Gross margin [€/ha]</t>
  </si>
  <si>
    <t>Gross margin rotation [€/ha]</t>
  </si>
  <si>
    <t xml:space="preserve">Machinery </t>
  </si>
  <si>
    <t>Irrigation</t>
  </si>
  <si>
    <t xml:space="preserve">Insurance </t>
  </si>
  <si>
    <t>Drying</t>
  </si>
  <si>
    <t xml:space="preserve">Total </t>
  </si>
  <si>
    <t>Price [EUR/t]</t>
  </si>
  <si>
    <t>Total amount [kg/ha]</t>
  </si>
  <si>
    <t xml:space="preserve">N [kg/ha]  </t>
  </si>
  <si>
    <t xml:space="preserve">Total N per crop [kg/ha]  </t>
  </si>
  <si>
    <t xml:space="preserve">Total mineral fertilizer per crop [kg/ha]  </t>
  </si>
  <si>
    <t xml:space="preserve">Total N rotation [kg/ha]  </t>
  </si>
  <si>
    <t xml:space="preserve">Total mineral fertilizer crop rotation [kg/ha]  </t>
  </si>
  <si>
    <t>Nfix [kg/ha]</t>
  </si>
  <si>
    <t>Gross margin (standard) [€/ha]</t>
  </si>
  <si>
    <t>Calculations</t>
  </si>
  <si>
    <t xml:space="preserve"> N leaching= N surplus * Leaching probability * N leach_corr</t>
  </si>
  <si>
    <t>N surplus = N input + Nminpa - N dfs</t>
  </si>
  <si>
    <t>-&gt; valid for non-legumes</t>
  </si>
  <si>
    <t>N surplus = N minfert + N manure P + Nminpa - N dfs</t>
  </si>
  <si>
    <t>-&gt; valid for legumes and non-legumes</t>
  </si>
  <si>
    <t xml:space="preserve">N dfs is the nitrogen derived from soil </t>
  </si>
  <si>
    <t>-&gt; N uptake is the N accumulated by the crop and N fix is BNF of grain and forage legumes</t>
  </si>
  <si>
    <t>(N input encloses additional N from seed)</t>
  </si>
  <si>
    <t>Value for organic fertilizers is 0,21</t>
  </si>
  <si>
    <t>N dfs = N uptake - N fix</t>
  </si>
  <si>
    <t>NO3-N leaching [kg/ha]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</si>
</sst>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0.0"/>
  </numFmts>
  <fonts count="16"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1"/>
      <name val="Calibri"/>
      <family val="2"/>
      <scheme val="minor"/>
    </font>
    <font>
      <sz val="11"/>
      <color theme="1"/>
      <name val="Calibri"/>
      <family val="2"/>
    </font>
    <font>
      <strike/>
      <sz val="11"/>
      <color theme="1"/>
      <name val="Calibri"/>
      <family val="2"/>
      <scheme val="minor"/>
    </font>
    <font>
      <strike/>
      <sz val="11"/>
      <color theme="1"/>
      <name val="Calibri"/>
      <family val="2"/>
    </font>
    <font>
      <sz val="10"/>
      <color indexed="8"/>
      <name val="Arial"/>
      <family val="2"/>
    </font>
    <font>
      <sz val="11"/>
      <color indexed="8"/>
      <name val="Calibri"/>
      <family val="2"/>
    </font>
    <font>
      <vertAlign val="subscript"/>
      <sz val="11"/>
      <color theme="1"/>
      <name val="Calibri"/>
      <family val="2"/>
      <scheme val="minor"/>
    </font>
    <font>
      <vertAlign val="subscript"/>
      <sz val="11"/>
      <color indexed="8"/>
      <name val="Calibri"/>
      <family val="2"/>
    </font>
    <font>
      <b/>
      <sz val="11"/>
      <name val="Calibri"/>
      <family val="2"/>
      <scheme val="minor"/>
    </font>
    <font>
      <sz val="11"/>
      <color rgb="FF000000"/>
      <name val="Calibri"/>
      <family val="2"/>
    </font>
    <font>
      <sz val="11"/>
      <color rgb="FF000000"/>
      <name val="Calibri"/>
      <family val="2"/>
    </font>
    <font>
      <b/>
      <sz val="9"/>
      <color indexed="81"/>
      <name val="Segoe UI"/>
      <family val="2"/>
    </font>
    <font>
      <sz val="9"/>
      <color indexed="81"/>
      <name val="Segoe UI"/>
      <family val="2"/>
    </font>
  </fonts>
  <fills count="14">
    <fill>
      <patternFill patternType="none"/>
    </fill>
    <fill>
      <patternFill patternType="gray125"/>
    </fill>
    <fill>
      <patternFill patternType="solid">
        <fgColor rgb="FF00B05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
      <patternFill patternType="solid">
        <fgColor theme="5"/>
        <bgColor indexed="64"/>
      </patternFill>
    </fill>
    <fill>
      <patternFill patternType="solid">
        <fgColor rgb="FF92D050"/>
        <bgColor indexed="64"/>
      </patternFill>
    </fill>
    <fill>
      <patternFill patternType="solid">
        <fgColor rgb="FFCCCCFF"/>
        <bgColor indexed="64"/>
      </patternFill>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s>
  <cellStyleXfs count="5">
    <xf numFmtId="0" fontId="0" fillId="0" borderId="0"/>
    <xf numFmtId="0" fontId="7" fillId="0" borderId="0"/>
    <xf numFmtId="0" fontId="7" fillId="0" borderId="0"/>
    <xf numFmtId="0" fontId="7" fillId="0" borderId="0"/>
    <xf numFmtId="0" fontId="7" fillId="0" borderId="0"/>
  </cellStyleXfs>
  <cellXfs count="325">
    <xf numFmtId="0" fontId="0" fillId="0" borderId="0" xfId="0"/>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left" wrapText="1"/>
    </xf>
    <xf numFmtId="0" fontId="0" fillId="0" borderId="0" xfId="0"/>
    <xf numFmtId="0" fontId="1" fillId="0" borderId="0" xfId="0" applyFont="1"/>
    <xf numFmtId="0" fontId="1" fillId="0" borderId="0" xfId="0" applyFont="1" applyAlignment="1">
      <alignment horizontal="center"/>
    </xf>
    <xf numFmtId="0" fontId="0" fillId="8" borderId="0" xfId="0" applyFill="1"/>
    <xf numFmtId="0" fontId="0" fillId="8" borderId="0" xfId="0" applyFill="1" applyAlignment="1"/>
    <xf numFmtId="0" fontId="0" fillId="0" borderId="10" xfId="0" applyBorder="1"/>
    <xf numFmtId="0" fontId="0" fillId="0" borderId="12" xfId="0" applyBorder="1" applyAlignment="1"/>
    <xf numFmtId="0" fontId="0" fillId="0" borderId="13" xfId="0" applyBorder="1"/>
    <xf numFmtId="0" fontId="0" fillId="0" borderId="14" xfId="0" applyBorder="1" applyAlignment="1"/>
    <xf numFmtId="0" fontId="0" fillId="4" borderId="14" xfId="0" applyFill="1" applyBorder="1"/>
    <xf numFmtId="0" fontId="0" fillId="0" borderId="18" xfId="0" applyBorder="1"/>
    <xf numFmtId="0" fontId="0" fillId="6" borderId="14" xfId="0" applyFill="1" applyBorder="1"/>
    <xf numFmtId="0" fontId="0" fillId="3" borderId="14" xfId="0" applyFill="1" applyBorder="1"/>
    <xf numFmtId="0" fontId="0" fillId="0" borderId="13" xfId="0" applyBorder="1" applyAlignment="1">
      <alignment horizontal="center" textRotation="90"/>
    </xf>
    <xf numFmtId="0" fontId="0" fillId="3" borderId="14" xfId="0" applyFill="1" applyBorder="1" applyAlignment="1">
      <alignment wrapText="1"/>
    </xf>
    <xf numFmtId="0" fontId="1" fillId="8" borderId="7" xfId="0" applyFont="1" applyFill="1" applyBorder="1" applyAlignment="1"/>
    <xf numFmtId="0" fontId="0" fillId="0" borderId="21" xfId="0" applyBorder="1"/>
    <xf numFmtId="0" fontId="1" fillId="0" borderId="8" xfId="0" applyFont="1" applyBorder="1"/>
    <xf numFmtId="0" fontId="0" fillId="8" borderId="0" xfId="0" applyFill="1" applyBorder="1"/>
    <xf numFmtId="0" fontId="0" fillId="8" borderId="0" xfId="0" applyFill="1" applyBorder="1" applyAlignment="1"/>
    <xf numFmtId="0" fontId="0" fillId="0" borderId="0" xfId="0" applyFont="1" applyAlignment="1">
      <alignment wrapText="1"/>
    </xf>
    <xf numFmtId="0" fontId="0" fillId="0" borderId="0" xfId="0" quotePrefix="1"/>
    <xf numFmtId="0" fontId="1"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xf>
    <xf numFmtId="0" fontId="0" fillId="0" borderId="0" xfId="0" applyFont="1" applyAlignment="1">
      <alignment horizontal="left" wrapText="1"/>
    </xf>
    <xf numFmtId="0" fontId="1" fillId="0" borderId="0" xfId="0" applyFont="1" applyAlignment="1">
      <alignment horizontal="center" vertical="center"/>
    </xf>
    <xf numFmtId="0" fontId="1" fillId="10" borderId="0" xfId="0" applyFont="1" applyFill="1" applyAlignment="1"/>
    <xf numFmtId="0" fontId="0" fillId="3" borderId="16" xfId="0" applyFill="1" applyBorder="1"/>
    <xf numFmtId="0" fontId="0" fillId="0" borderId="0" xfId="0" applyBorder="1"/>
    <xf numFmtId="0" fontId="0" fillId="8" borderId="3" xfId="0" applyFill="1" applyBorder="1"/>
    <xf numFmtId="0" fontId="0" fillId="8" borderId="27" xfId="0" applyFill="1" applyBorder="1"/>
    <xf numFmtId="0" fontId="1" fillId="0" borderId="0" xfId="0" applyFont="1" applyAlignment="1">
      <alignment horizontal="center"/>
    </xf>
    <xf numFmtId="0" fontId="0" fillId="0" borderId="0" xfId="0" applyAlignment="1">
      <alignment wrapText="1"/>
    </xf>
    <xf numFmtId="0" fontId="3" fillId="9" borderId="19" xfId="0" applyFont="1" applyFill="1" applyBorder="1"/>
    <xf numFmtId="0" fontId="3" fillId="9" borderId="14" xfId="0" applyFont="1" applyFill="1" applyBorder="1"/>
    <xf numFmtId="0" fontId="0" fillId="8" borderId="28" xfId="0" applyFill="1" applyBorder="1"/>
    <xf numFmtId="9" fontId="0" fillId="3" borderId="1" xfId="0" applyNumberFormat="1" applyFill="1" applyBorder="1" applyAlignment="1">
      <alignment horizontal="center"/>
    </xf>
    <xf numFmtId="0" fontId="0" fillId="3" borderId="19" xfId="0" applyFill="1" applyBorder="1"/>
    <xf numFmtId="9" fontId="0" fillId="3" borderId="5" xfId="0" applyNumberFormat="1" applyFill="1" applyBorder="1" applyAlignment="1">
      <alignment horizontal="center"/>
    </xf>
    <xf numFmtId="0" fontId="0" fillId="3" borderId="32" xfId="0" applyFill="1" applyBorder="1"/>
    <xf numFmtId="0" fontId="0" fillId="3" borderId="34" xfId="0" applyFill="1" applyBorder="1" applyAlignment="1">
      <alignment horizontal="center"/>
    </xf>
    <xf numFmtId="0" fontId="0" fillId="3" borderId="8" xfId="0" applyFill="1" applyBorder="1"/>
    <xf numFmtId="0" fontId="0" fillId="3" borderId="37" xfId="0" applyFill="1" applyBorder="1" applyAlignment="1"/>
    <xf numFmtId="0" fontId="0" fillId="3" borderId="42" xfId="0" applyFill="1" applyBorder="1" applyAlignment="1">
      <alignment horizontal="center"/>
    </xf>
    <xf numFmtId="0" fontId="0" fillId="3" borderId="41" xfId="0" applyFill="1" applyBorder="1" applyAlignment="1">
      <alignment horizontal="center"/>
    </xf>
    <xf numFmtId="0" fontId="0" fillId="3" borderId="30" xfId="0" applyFill="1" applyBorder="1" applyAlignment="1">
      <alignment horizontal="center"/>
    </xf>
    <xf numFmtId="0" fontId="0" fillId="6" borderId="44" xfId="0" applyFill="1" applyBorder="1"/>
    <xf numFmtId="0" fontId="0" fillId="6" borderId="32" xfId="0" applyFill="1" applyBorder="1"/>
    <xf numFmtId="0" fontId="3" fillId="4" borderId="44" xfId="0" applyFont="1" applyFill="1" applyBorder="1"/>
    <xf numFmtId="0" fontId="0" fillId="4" borderId="32" xfId="0" applyFill="1" applyBorder="1" applyAlignment="1">
      <alignment wrapText="1"/>
    </xf>
    <xf numFmtId="0" fontId="0" fillId="0" borderId="18" xfId="0" applyBorder="1" applyAlignment="1"/>
    <xf numFmtId="0" fontId="0" fillId="9" borderId="32" xfId="0" applyFill="1" applyBorder="1"/>
    <xf numFmtId="0" fontId="0" fillId="3" borderId="44" xfId="0" applyFill="1" applyBorder="1"/>
    <xf numFmtId="0" fontId="0" fillId="4" borderId="32" xfId="0" applyFill="1" applyBorder="1"/>
    <xf numFmtId="0" fontId="0" fillId="4" borderId="19" xfId="0" applyFill="1" applyBorder="1"/>
    <xf numFmtId="0" fontId="0" fillId="4" borderId="8" xfId="0" applyFill="1" applyBorder="1"/>
    <xf numFmtId="0" fontId="0" fillId="8" borderId="10" xfId="0" applyFill="1" applyBorder="1"/>
    <xf numFmtId="0" fontId="1" fillId="8" borderId="50" xfId="0" applyFont="1" applyFill="1" applyBorder="1" applyAlignment="1"/>
    <xf numFmtId="0" fontId="0" fillId="8" borderId="50" xfId="0" applyFill="1" applyBorder="1"/>
    <xf numFmtId="0" fontId="3" fillId="9" borderId="52" xfId="0" applyFont="1" applyFill="1" applyBorder="1"/>
    <xf numFmtId="0" fontId="0" fillId="9" borderId="51" xfId="0" applyFill="1" applyBorder="1"/>
    <xf numFmtId="0" fontId="0" fillId="8" borderId="1" xfId="0" applyFill="1" applyBorder="1" applyAlignment="1"/>
    <xf numFmtId="0" fontId="0" fillId="8" borderId="1" xfId="0" applyFill="1" applyBorder="1"/>
    <xf numFmtId="0" fontId="0" fillId="8" borderId="10" xfId="0" applyFill="1" applyBorder="1" applyAlignment="1"/>
    <xf numFmtId="0" fontId="0" fillId="8" borderId="34" xfId="0" applyFill="1" applyBorder="1" applyAlignment="1"/>
    <xf numFmtId="0" fontId="0" fillId="8" borderId="34" xfId="0" applyFill="1" applyBorder="1"/>
    <xf numFmtId="0" fontId="0" fillId="6" borderId="37" xfId="0" applyFill="1" applyBorder="1" applyAlignment="1">
      <alignment horizontal="center"/>
    </xf>
    <xf numFmtId="0" fontId="0" fillId="3" borderId="1" xfId="0" applyFill="1" applyBorder="1" applyAlignment="1">
      <alignment horizontal="center"/>
    </xf>
    <xf numFmtId="0" fontId="0" fillId="3" borderId="5" xfId="0" applyFill="1" applyBorder="1" applyAlignment="1">
      <alignment horizontal="center"/>
    </xf>
    <xf numFmtId="0" fontId="0" fillId="3" borderId="37" xfId="0" applyFill="1" applyBorder="1" applyAlignment="1">
      <alignment horizontal="center" wrapText="1"/>
    </xf>
    <xf numFmtId="0" fontId="0" fillId="3" borderId="37" xfId="0" applyFill="1" applyBorder="1" applyAlignment="1">
      <alignment horizontal="center"/>
    </xf>
    <xf numFmtId="0" fontId="0" fillId="4" borderId="33" xfId="0" applyFill="1" applyBorder="1" applyAlignment="1">
      <alignment horizontal="center"/>
    </xf>
    <xf numFmtId="0" fontId="0" fillId="4" borderId="6" xfId="0" applyFill="1" applyBorder="1" applyAlignment="1">
      <alignment horizontal="center"/>
    </xf>
    <xf numFmtId="0" fontId="0" fillId="4" borderId="36" xfId="0" applyFill="1" applyBorder="1" applyAlignment="1">
      <alignment horizontal="center"/>
    </xf>
    <xf numFmtId="0" fontId="0" fillId="4" borderId="1" xfId="0" applyFill="1" applyBorder="1" applyAlignment="1"/>
    <xf numFmtId="0" fontId="0" fillId="6" borderId="34" xfId="0" applyFill="1" applyBorder="1" applyAlignment="1"/>
    <xf numFmtId="0" fontId="0" fillId="3" borderId="5" xfId="0" applyFill="1" applyBorder="1" applyAlignment="1"/>
    <xf numFmtId="0" fontId="0" fillId="3" borderId="1" xfId="0" applyFill="1" applyBorder="1" applyAlignment="1"/>
    <xf numFmtId="0" fontId="0" fillId="3" borderId="33" xfId="0" applyFill="1" applyBorder="1" applyAlignment="1"/>
    <xf numFmtId="0" fontId="0" fillId="3" borderId="34" xfId="0" applyFill="1" applyBorder="1" applyAlignment="1"/>
    <xf numFmtId="0" fontId="0" fillId="3" borderId="37" xfId="0" applyFill="1" applyBorder="1" applyAlignment="1">
      <alignment wrapText="1"/>
    </xf>
    <xf numFmtId="0" fontId="0" fillId="3" borderId="2" xfId="0" applyFill="1" applyBorder="1" applyAlignment="1"/>
    <xf numFmtId="0" fontId="0" fillId="3" borderId="4" xfId="0" applyFill="1" applyBorder="1" applyAlignment="1"/>
    <xf numFmtId="0" fontId="0" fillId="6" borderId="5" xfId="0" applyFill="1" applyBorder="1" applyAlignment="1"/>
    <xf numFmtId="0" fontId="0" fillId="6" borderId="1" xfId="0" applyFill="1" applyBorder="1" applyAlignment="1"/>
    <xf numFmtId="0" fontId="0" fillId="4" borderId="5" xfId="0" applyFill="1" applyBorder="1" applyAlignment="1"/>
    <xf numFmtId="0" fontId="0" fillId="4" borderId="45" xfId="0" applyFill="1" applyBorder="1" applyAlignment="1"/>
    <xf numFmtId="0" fontId="0" fillId="3" borderId="56" xfId="0" applyFill="1" applyBorder="1" applyAlignment="1">
      <alignment horizontal="center"/>
    </xf>
    <xf numFmtId="0" fontId="0" fillId="3" borderId="57" xfId="0" applyFill="1" applyBorder="1" applyAlignment="1"/>
    <xf numFmtId="0" fontId="0" fillId="3" borderId="57" xfId="0" applyFill="1" applyBorder="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0" fontId="0" fillId="3" borderId="36" xfId="0" applyFill="1" applyBorder="1" applyAlignment="1">
      <alignment horizontal="center"/>
    </xf>
    <xf numFmtId="0" fontId="0" fillId="3" borderId="4" xfId="0" applyFill="1" applyBorder="1" applyAlignment="1">
      <alignment horizontal="center"/>
    </xf>
    <xf numFmtId="0" fontId="0" fillId="3" borderId="33" xfId="0" applyFill="1" applyBorder="1" applyAlignment="1">
      <alignment horizontal="center"/>
    </xf>
    <xf numFmtId="0" fontId="0" fillId="3" borderId="6" xfId="0" applyFill="1" applyBorder="1" applyAlignment="1">
      <alignment horizontal="center"/>
    </xf>
    <xf numFmtId="0" fontId="0" fillId="3" borderId="1" xfId="0" applyFill="1" applyBorder="1" applyAlignment="1">
      <alignment horizontal="center"/>
    </xf>
    <xf numFmtId="0" fontId="0" fillId="3" borderId="4"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vertical="center"/>
    </xf>
    <xf numFmtId="14" fontId="0" fillId="6" borderId="5" xfId="0" applyNumberFormat="1" applyFill="1" applyBorder="1" applyAlignment="1"/>
    <xf numFmtId="14" fontId="0" fillId="3" borderId="5" xfId="0" applyNumberFormat="1" applyFill="1" applyBorder="1" applyAlignment="1"/>
    <xf numFmtId="14" fontId="0" fillId="3" borderId="1" xfId="0" applyNumberFormat="1" applyFill="1" applyBorder="1" applyAlignment="1"/>
    <xf numFmtId="0" fontId="0" fillId="3" borderId="1" xfId="0" applyFill="1" applyBorder="1" applyAlignment="1">
      <alignment horizontal="center"/>
    </xf>
    <xf numFmtId="17" fontId="0" fillId="3" borderId="5" xfId="0" applyNumberFormat="1" applyFill="1" applyBorder="1" applyAlignment="1"/>
    <xf numFmtId="0" fontId="4" fillId="3" borderId="5" xfId="0" applyFont="1" applyFill="1" applyBorder="1" applyAlignment="1">
      <alignment horizontal="center"/>
    </xf>
    <xf numFmtId="0" fontId="0" fillId="0" borderId="0" xfId="0"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4" borderId="33" xfId="0" applyFill="1" applyBorder="1" applyAlignment="1">
      <alignment horizontal="center"/>
    </xf>
    <xf numFmtId="0" fontId="0" fillId="3" borderId="36" xfId="0" applyFill="1" applyBorder="1" applyAlignment="1">
      <alignment horizontal="center"/>
    </xf>
    <xf numFmtId="0" fontId="0" fillId="3" borderId="6" xfId="0" applyFill="1" applyBorder="1" applyAlignment="1">
      <alignment horizontal="center"/>
    </xf>
    <xf numFmtId="0" fontId="0" fillId="3" borderId="1" xfId="0" applyFill="1" applyBorder="1" applyAlignment="1">
      <alignment horizontal="center"/>
    </xf>
    <xf numFmtId="0" fontId="0" fillId="4" borderId="36" xfId="0" applyFill="1" applyBorder="1" applyAlignment="1">
      <alignment horizontal="center"/>
    </xf>
    <xf numFmtId="0" fontId="0" fillId="4" borderId="6" xfId="0" applyFill="1" applyBorder="1" applyAlignment="1">
      <alignment horizontal="center"/>
    </xf>
    <xf numFmtId="0" fontId="0" fillId="3" borderId="5" xfId="0" applyFill="1" applyBorder="1" applyAlignment="1">
      <alignment vertical="center" wrapText="1"/>
    </xf>
    <xf numFmtId="0" fontId="0" fillId="3" borderId="19" xfId="0" applyFill="1" applyBorder="1" applyAlignment="1">
      <alignment vertical="center"/>
    </xf>
    <xf numFmtId="0" fontId="0" fillId="8" borderId="0" xfId="0" applyFill="1" applyAlignment="1">
      <alignment vertical="center"/>
    </xf>
    <xf numFmtId="9" fontId="0" fillId="3" borderId="5" xfId="0" applyNumberFormat="1" applyFill="1" applyBorder="1" applyAlignment="1">
      <alignment horizontal="center" vertical="center"/>
    </xf>
    <xf numFmtId="0" fontId="0" fillId="3" borderId="5" xfId="0" applyFill="1" applyBorder="1" applyAlignment="1">
      <alignment vertical="center"/>
    </xf>
    <xf numFmtId="0" fontId="0" fillId="3" borderId="5" xfId="0" applyFill="1" applyBorder="1" applyAlignment="1">
      <alignment horizontal="center" vertical="center"/>
    </xf>
    <xf numFmtId="0" fontId="0" fillId="8" borderId="0" xfId="0" applyFill="1" applyBorder="1" applyAlignment="1">
      <alignment vertical="center"/>
    </xf>
    <xf numFmtId="0" fontId="0" fillId="0" borderId="0" xfId="0" applyAlignment="1">
      <alignment vertical="center"/>
    </xf>
    <xf numFmtId="0" fontId="0" fillId="3" borderId="59" xfId="0" applyFill="1" applyBorder="1" applyAlignment="1">
      <alignment horizontal="center" vertical="center"/>
    </xf>
    <xf numFmtId="0" fontId="0" fillId="3" borderId="41" xfId="0" applyFill="1" applyBorder="1" applyAlignment="1">
      <alignment vertical="center" textRotation="45"/>
    </xf>
    <xf numFmtId="0" fontId="0" fillId="3" borderId="14" xfId="0" applyFill="1" applyBorder="1" applyAlignment="1">
      <alignment vertical="center" wrapText="1"/>
    </xf>
    <xf numFmtId="2" fontId="0" fillId="0" borderId="1" xfId="0" applyNumberFormat="1" applyBorder="1"/>
    <xf numFmtId="0" fontId="0" fillId="0" borderId="0" xfId="0" applyFill="1" applyBorder="1"/>
    <xf numFmtId="0" fontId="6" fillId="3" borderId="5" xfId="0" applyFont="1" applyFill="1" applyBorder="1" applyAlignment="1">
      <alignment horizontal="center"/>
    </xf>
    <xf numFmtId="0" fontId="5" fillId="3" borderId="5" xfId="0" applyFont="1" applyFill="1" applyBorder="1" applyAlignment="1"/>
    <xf numFmtId="17" fontId="5" fillId="3" borderId="5" xfId="0" applyNumberFormat="1" applyFont="1" applyFill="1" applyBorder="1" applyAlignment="1"/>
    <xf numFmtId="0" fontId="5" fillId="3" borderId="5" xfId="0" applyFont="1" applyFill="1" applyBorder="1" applyAlignment="1">
      <alignment horizontal="center"/>
    </xf>
    <xf numFmtId="0" fontId="5" fillId="3" borderId="42" xfId="0" applyFont="1" applyFill="1" applyBorder="1" applyAlignment="1">
      <alignment horizontal="center"/>
    </xf>
    <xf numFmtId="0" fontId="5" fillId="8" borderId="0" xfId="0" applyFont="1" applyFill="1" applyBorder="1"/>
    <xf numFmtId="0" fontId="0" fillId="3" borderId="5" xfId="0" applyFill="1" applyBorder="1" applyAlignment="1">
      <alignment horizontal="center" vertical="center"/>
    </xf>
    <xf numFmtId="0" fontId="0" fillId="3" borderId="1" xfId="0" applyFill="1" applyBorder="1" applyAlignment="1">
      <alignment horizontal="center"/>
    </xf>
    <xf numFmtId="0" fontId="0" fillId="3" borderId="33" xfId="0" applyFill="1" applyBorder="1" applyAlignment="1">
      <alignment horizontal="center"/>
    </xf>
    <xf numFmtId="0" fontId="0" fillId="0" borderId="0" xfId="0" applyAlignment="1"/>
    <xf numFmtId="0" fontId="1" fillId="0" borderId="0" xfId="0" applyFont="1" applyAlignment="1"/>
    <xf numFmtId="0" fontId="0" fillId="3" borderId="27" xfId="0" applyFill="1" applyBorder="1" applyAlignment="1"/>
    <xf numFmtId="14" fontId="0" fillId="3" borderId="1" xfId="0" applyNumberFormat="1" applyFill="1" applyBorder="1" applyAlignment="1">
      <alignment vertical="center" wrapText="1"/>
    </xf>
    <xf numFmtId="0" fontId="0" fillId="3" borderId="28" xfId="0" applyFill="1" applyBorder="1" applyAlignment="1">
      <alignment horizontal="center"/>
    </xf>
    <xf numFmtId="0" fontId="0" fillId="3" borderId="4" xfId="0" applyFill="1" applyBorder="1" applyAlignment="1">
      <alignment vertical="center"/>
    </xf>
    <xf numFmtId="0" fontId="0" fillId="0" borderId="0" xfId="0" applyFont="1"/>
    <xf numFmtId="10" fontId="0" fillId="0" borderId="0" xfId="0" applyNumberFormat="1"/>
    <xf numFmtId="2" fontId="0" fillId="0" borderId="0" xfId="0" applyNumberFormat="1"/>
    <xf numFmtId="9" fontId="0" fillId="0" borderId="0" xfId="0" applyNumberFormat="1"/>
    <xf numFmtId="0" fontId="8" fillId="0" borderId="0" xfId="2" applyFont="1" applyFill="1" applyBorder="1" applyAlignment="1">
      <alignment wrapText="1"/>
    </xf>
    <xf numFmtId="0" fontId="8" fillId="0" borderId="0" xfId="1" applyFont="1" applyFill="1" applyBorder="1" applyAlignment="1">
      <alignment wrapText="1"/>
    </xf>
    <xf numFmtId="0" fontId="8" fillId="0" borderId="0" xfId="1" applyFont="1" applyFill="1" applyBorder="1" applyAlignment="1"/>
    <xf numFmtId="0" fontId="8" fillId="0" borderId="3" xfId="3" applyFont="1" applyFill="1" applyBorder="1" applyAlignment="1">
      <alignment horizontal="right" wrapText="1"/>
    </xf>
    <xf numFmtId="1" fontId="0" fillId="0" borderId="0" xfId="0" applyNumberFormat="1"/>
    <xf numFmtId="0" fontId="1" fillId="0" borderId="0" xfId="0" applyFont="1" applyBorder="1"/>
    <xf numFmtId="0" fontId="0" fillId="0" borderId="7" xfId="0" applyBorder="1"/>
    <xf numFmtId="0" fontId="0" fillId="0" borderId="28" xfId="0" applyBorder="1"/>
    <xf numFmtId="0" fontId="1" fillId="0" borderId="6" xfId="0" applyFont="1" applyBorder="1"/>
    <xf numFmtId="0" fontId="1" fillId="0" borderId="28" xfId="0" applyFont="1" applyBorder="1"/>
    <xf numFmtId="0" fontId="0" fillId="11" borderId="0" xfId="0" applyFill="1"/>
    <xf numFmtId="0" fontId="0" fillId="0" borderId="27" xfId="0" applyFill="1" applyBorder="1" applyAlignment="1">
      <alignment horizontal="center" vertical="center" wrapText="1"/>
    </xf>
    <xf numFmtId="0" fontId="0" fillId="0" borderId="60" xfId="0" applyFill="1" applyBorder="1" applyAlignment="1">
      <alignment horizontal="center" vertical="center"/>
    </xf>
    <xf numFmtId="0" fontId="0" fillId="0" borderId="60" xfId="0" applyFill="1" applyBorder="1" applyAlignment="1">
      <alignment horizontal="center" vertical="center" wrapText="1"/>
    </xf>
    <xf numFmtId="164" fontId="0" fillId="0" borderId="60" xfId="0" applyNumberFormat="1" applyFill="1" applyBorder="1" applyAlignment="1">
      <alignment horizontal="center" vertical="center" wrapText="1"/>
    </xf>
    <xf numFmtId="0" fontId="0" fillId="12" borderId="0" xfId="0" applyFill="1"/>
    <xf numFmtId="0" fontId="11" fillId="0" borderId="0" xfId="0" applyFont="1" applyBorder="1"/>
    <xf numFmtId="0" fontId="1" fillId="0" borderId="0" xfId="0" applyFont="1" applyFill="1" applyBorder="1"/>
    <xf numFmtId="0" fontId="8" fillId="0" borderId="61" xfId="3" applyFont="1" applyFill="1" applyBorder="1" applyAlignment="1">
      <alignment horizontal="right" wrapText="1"/>
    </xf>
    <xf numFmtId="0" fontId="8" fillId="0" borderId="62" xfId="1" applyFont="1" applyFill="1" applyBorder="1" applyAlignment="1">
      <alignment wrapText="1"/>
    </xf>
    <xf numFmtId="0" fontId="1" fillId="13" borderId="0" xfId="0" applyFont="1" applyFill="1"/>
    <xf numFmtId="1" fontId="12" fillId="0" borderId="63" xfId="0" applyNumberFormat="1" applyFont="1" applyFill="1" applyBorder="1" applyAlignment="1" applyProtection="1">
      <alignment horizontal="right" vertical="center" wrapText="1"/>
    </xf>
    <xf numFmtId="1" fontId="13" fillId="0" borderId="63" xfId="0" applyNumberFormat="1" applyFont="1" applyFill="1" applyBorder="1" applyAlignment="1" applyProtection="1">
      <alignment horizontal="right" vertical="center" wrapText="1"/>
    </xf>
    <xf numFmtId="1" fontId="13" fillId="0" borderId="64" xfId="0" applyNumberFormat="1" applyFont="1" applyFill="1" applyBorder="1" applyAlignment="1" applyProtection="1">
      <alignment horizontal="right" vertical="center" wrapText="1"/>
    </xf>
    <xf numFmtId="165" fontId="0" fillId="0" borderId="0" xfId="0" applyNumberFormat="1"/>
    <xf numFmtId="0" fontId="8" fillId="0" borderId="62" xfId="2" applyFont="1" applyFill="1" applyBorder="1" applyAlignment="1">
      <alignment wrapText="1"/>
    </xf>
    <xf numFmtId="166" fontId="0" fillId="0" borderId="0" xfId="0" applyNumberFormat="1"/>
    <xf numFmtId="166" fontId="0" fillId="0" borderId="0" xfId="0" applyNumberFormat="1" applyFill="1" applyBorder="1"/>
    <xf numFmtId="0" fontId="0" fillId="9" borderId="0" xfId="0" applyFill="1"/>
    <xf numFmtId="0" fontId="8" fillId="0" borderId="61" xfId="3" applyFont="1" applyFill="1" applyBorder="1" applyAlignment="1">
      <alignment horizontal="left" wrapText="1"/>
    </xf>
    <xf numFmtId="2" fontId="8" fillId="0" borderId="65" xfId="4" applyNumberFormat="1" applyFont="1" applyFill="1" applyBorder="1" applyAlignment="1">
      <alignment horizontal="right" wrapText="1"/>
    </xf>
    <xf numFmtId="2" fontId="8" fillId="0" borderId="66" xfId="4" applyNumberFormat="1" applyFont="1" applyFill="1" applyBorder="1" applyAlignment="1">
      <alignment horizontal="right" wrapText="1"/>
    </xf>
    <xf numFmtId="0" fontId="1" fillId="0" borderId="0" xfId="0" applyFont="1" applyAlignment="1">
      <alignment horizontal="center"/>
    </xf>
    <xf numFmtId="0" fontId="0" fillId="0" borderId="0" xfId="0" applyAlignment="1">
      <alignment horizontal="center"/>
    </xf>
    <xf numFmtId="0" fontId="0" fillId="0" borderId="0" xfId="0" applyFont="1" applyAlignment="1">
      <alignment horizontal="left" wrapText="1"/>
    </xf>
    <xf numFmtId="0" fontId="1" fillId="0" borderId="0" xfId="0" applyFont="1" applyAlignment="1">
      <alignment horizontal="center" vertical="center"/>
    </xf>
    <xf numFmtId="0" fontId="0" fillId="0" borderId="0" xfId="0" applyFont="1" applyAlignment="1">
      <alignment horizont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wrapText="1"/>
    </xf>
    <xf numFmtId="9" fontId="3" fillId="3" borderId="45" xfId="0" applyNumberFormat="1" applyFont="1" applyFill="1" applyBorder="1" applyAlignment="1">
      <alignment horizontal="center"/>
    </xf>
    <xf numFmtId="9" fontId="3" fillId="3" borderId="5" xfId="0" applyNumberFormat="1" applyFont="1" applyFill="1" applyBorder="1" applyAlignment="1">
      <alignment horizontal="center"/>
    </xf>
    <xf numFmtId="0" fontId="1" fillId="0" borderId="46" xfId="0" applyFont="1" applyBorder="1" applyAlignment="1">
      <alignment horizontal="center"/>
    </xf>
    <xf numFmtId="0" fontId="1" fillId="0" borderId="40" xfId="0" applyFont="1" applyBorder="1" applyAlignment="1">
      <alignment horizontal="center"/>
    </xf>
    <xf numFmtId="0" fontId="0" fillId="9" borderId="43" xfId="0" applyFill="1" applyBorder="1" applyAlignment="1">
      <alignment horizontal="center"/>
    </xf>
    <xf numFmtId="0" fontId="0" fillId="9" borderId="26" xfId="0" applyFill="1" applyBorder="1" applyAlignment="1">
      <alignment horizontal="center"/>
    </xf>
    <xf numFmtId="0" fontId="1" fillId="9" borderId="2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23" xfId="0" applyFont="1" applyFill="1" applyBorder="1" applyAlignment="1">
      <alignment horizontal="center" vertical="center" wrapText="1"/>
    </xf>
    <xf numFmtId="0" fontId="0" fillId="9" borderId="24" xfId="0" applyFill="1" applyBorder="1" applyAlignment="1">
      <alignment horizontal="center" vertical="center" wrapText="1"/>
    </xf>
    <xf numFmtId="0" fontId="0" fillId="9" borderId="18" xfId="0" applyFill="1" applyBorder="1" applyAlignment="1">
      <alignment horizontal="center" vertical="center" wrapText="1"/>
    </xf>
    <xf numFmtId="0" fontId="0" fillId="9" borderId="19" xfId="0" applyFill="1" applyBorder="1" applyAlignment="1">
      <alignment horizontal="center" vertical="center" wrapText="1"/>
    </xf>
    <xf numFmtId="0" fontId="0" fillId="9" borderId="39" xfId="0" applyFill="1" applyBorder="1" applyAlignment="1">
      <alignment horizontal="center"/>
    </xf>
    <xf numFmtId="0" fontId="0" fillId="9" borderId="40" xfId="0" applyFill="1" applyBorder="1" applyAlignment="1">
      <alignment horizontal="center"/>
    </xf>
    <xf numFmtId="0" fontId="0" fillId="9" borderId="1" xfId="0" applyFill="1" applyBorder="1" applyAlignment="1">
      <alignment horizontal="center" vertical="center"/>
    </xf>
    <xf numFmtId="0" fontId="0" fillId="0" borderId="29" xfId="0" applyBorder="1" applyAlignment="1">
      <alignment horizontal="center"/>
    </xf>
    <xf numFmtId="0" fontId="0" fillId="0" borderId="0" xfId="0" applyBorder="1" applyAlignment="1">
      <alignment horizontal="center"/>
    </xf>
    <xf numFmtId="0" fontId="0" fillId="9" borderId="35" xfId="0" applyFill="1" applyBorder="1" applyAlignment="1">
      <alignment horizontal="center" vertical="center"/>
    </xf>
    <xf numFmtId="0" fontId="0" fillId="9" borderId="47" xfId="0" applyFill="1" applyBorder="1" applyAlignment="1">
      <alignment horizontal="center" vertical="center"/>
    </xf>
    <xf numFmtId="0" fontId="0" fillId="9" borderId="33" xfId="0" applyFill="1" applyBorder="1" applyAlignment="1">
      <alignment horizontal="center" vertical="center"/>
    </xf>
    <xf numFmtId="0" fontId="1" fillId="2" borderId="11" xfId="0" applyFont="1" applyFill="1" applyBorder="1" applyAlignment="1">
      <alignment horizontal="center" textRotation="90" wrapText="1"/>
    </xf>
    <xf numFmtId="0" fontId="0" fillId="4" borderId="3" xfId="0" applyFill="1" applyBorder="1" applyAlignment="1">
      <alignment horizontal="center" vertical="center" wrapText="1"/>
    </xf>
    <xf numFmtId="0" fontId="0" fillId="4" borderId="53" xfId="0" applyFill="1" applyBorder="1" applyAlignment="1">
      <alignment horizontal="center"/>
    </xf>
    <xf numFmtId="0" fontId="0" fillId="4" borderId="54" xfId="0" applyFill="1" applyBorder="1" applyAlignment="1">
      <alignment horizontal="center"/>
    </xf>
    <xf numFmtId="0" fontId="0" fillId="4" borderId="46" xfId="0" applyFill="1" applyBorder="1" applyAlignment="1">
      <alignment horizontal="center"/>
    </xf>
    <xf numFmtId="0" fontId="0" fillId="4" borderId="51" xfId="0" applyFill="1" applyBorder="1" applyAlignment="1">
      <alignment horizontal="center"/>
    </xf>
    <xf numFmtId="0" fontId="0" fillId="4" borderId="47" xfId="0" applyFill="1" applyBorder="1" applyAlignment="1">
      <alignment horizontal="center"/>
    </xf>
    <xf numFmtId="0" fontId="0" fillId="4" borderId="33" xfId="0" applyFill="1" applyBorder="1" applyAlignment="1">
      <alignment horizontal="center"/>
    </xf>
    <xf numFmtId="0" fontId="0" fillId="4" borderId="5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1" fillId="5" borderId="15" xfId="0" applyFont="1" applyFill="1" applyBorder="1" applyAlignment="1">
      <alignment horizontal="center" textRotation="90"/>
    </xf>
    <xf numFmtId="0" fontId="1" fillId="5" borderId="17" xfId="0" applyFont="1" applyFill="1" applyBorder="1" applyAlignment="1">
      <alignment horizontal="center" textRotation="90"/>
    </xf>
    <xf numFmtId="0" fontId="1" fillId="5" borderId="9" xfId="0" applyFont="1" applyFill="1" applyBorder="1" applyAlignment="1">
      <alignment horizontal="center" textRotation="90"/>
    </xf>
    <xf numFmtId="0" fontId="0" fillId="6" borderId="16"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9" xfId="0" applyFill="1" applyBorder="1" applyAlignment="1">
      <alignment horizontal="center" vertical="center" wrapText="1"/>
    </xf>
    <xf numFmtId="0" fontId="0" fillId="6" borderId="39" xfId="0" applyFill="1" applyBorder="1" applyAlignment="1">
      <alignment horizontal="center"/>
    </xf>
    <xf numFmtId="0" fontId="0" fillId="6" borderId="40" xfId="0" applyFill="1" applyBorder="1" applyAlignment="1">
      <alignment horizontal="center"/>
    </xf>
    <xf numFmtId="0" fontId="0" fillId="6" borderId="51" xfId="0" applyFill="1" applyBorder="1" applyAlignment="1">
      <alignment horizontal="center"/>
    </xf>
    <xf numFmtId="0" fontId="0" fillId="6" borderId="47" xfId="0" applyFill="1" applyBorder="1" applyAlignment="1">
      <alignment horizontal="center"/>
    </xf>
    <xf numFmtId="0" fontId="0" fillId="6" borderId="33" xfId="0" applyFill="1" applyBorder="1" applyAlignment="1">
      <alignment horizontal="center"/>
    </xf>
    <xf numFmtId="0" fontId="0" fillId="0" borderId="49" xfId="0" applyBorder="1" applyAlignment="1">
      <alignment horizontal="center"/>
    </xf>
    <xf numFmtId="0" fontId="0" fillId="0" borderId="20" xfId="0" applyBorder="1" applyAlignment="1">
      <alignment horizontal="center"/>
    </xf>
    <xf numFmtId="0" fontId="0" fillId="6" borderId="41" xfId="0" applyFill="1" applyBorder="1" applyAlignment="1">
      <alignment horizontal="center"/>
    </xf>
    <xf numFmtId="0" fontId="0" fillId="6" borderId="1" xfId="0" applyFill="1" applyBorder="1" applyAlignment="1">
      <alignment horizontal="center"/>
    </xf>
    <xf numFmtId="0" fontId="1" fillId="7" borderId="15" xfId="0" applyFont="1" applyFill="1" applyBorder="1" applyAlignment="1">
      <alignment horizontal="center" vertical="center" textRotation="90"/>
    </xf>
    <xf numFmtId="0" fontId="1" fillId="7" borderId="17" xfId="0" applyFont="1" applyFill="1" applyBorder="1" applyAlignment="1">
      <alignment horizontal="center" vertical="center" textRotation="90"/>
    </xf>
    <xf numFmtId="0" fontId="1" fillId="7" borderId="9" xfId="0" applyFont="1" applyFill="1" applyBorder="1" applyAlignment="1">
      <alignment horizontal="center" vertical="center" textRotation="90"/>
    </xf>
    <xf numFmtId="0" fontId="0" fillId="3" borderId="16"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19" xfId="0" applyFill="1" applyBorder="1" applyAlignment="1">
      <alignment horizontal="center" vertical="center" wrapText="1"/>
    </xf>
    <xf numFmtId="0" fontId="0" fillId="0" borderId="58" xfId="0" applyBorder="1" applyAlignment="1">
      <alignment horizontal="center"/>
    </xf>
    <xf numFmtId="0" fontId="0" fillId="0" borderId="10" xfId="0" applyBorder="1" applyAlignment="1">
      <alignment horizontal="center"/>
    </xf>
    <xf numFmtId="0" fontId="3" fillId="3" borderId="59"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0" fillId="3" borderId="45" xfId="0" applyFill="1" applyBorder="1" applyAlignment="1">
      <alignment horizontal="center" vertical="center"/>
    </xf>
    <xf numFmtId="0" fontId="0" fillId="3" borderId="5" xfId="0" applyFill="1" applyBorder="1" applyAlignment="1">
      <alignment horizontal="center" vertical="center"/>
    </xf>
    <xf numFmtId="0" fontId="3" fillId="3" borderId="45" xfId="0" applyFont="1" applyFill="1" applyBorder="1" applyAlignment="1">
      <alignment horizontal="center" vertical="center"/>
    </xf>
    <xf numFmtId="0" fontId="3" fillId="3" borderId="5" xfId="0" applyFont="1" applyFill="1" applyBorder="1" applyAlignment="1">
      <alignment horizontal="center" vertical="center"/>
    </xf>
    <xf numFmtId="0" fontId="0" fillId="3" borderId="59" xfId="0" applyFill="1" applyBorder="1" applyAlignment="1">
      <alignment horizontal="center" vertical="center" wrapText="1"/>
    </xf>
    <xf numFmtId="0" fontId="0" fillId="3" borderId="42" xfId="0" applyFill="1" applyBorder="1" applyAlignment="1">
      <alignment horizontal="center" vertical="center" wrapText="1"/>
    </xf>
    <xf numFmtId="0" fontId="3" fillId="3" borderId="45" xfId="0" applyFont="1" applyFill="1" applyBorder="1" applyAlignment="1">
      <alignment horizontal="center"/>
    </xf>
    <xf numFmtId="0" fontId="3" fillId="3" borderId="5" xfId="0" applyFont="1" applyFill="1" applyBorder="1" applyAlignment="1">
      <alignment horizontal="center"/>
    </xf>
    <xf numFmtId="0" fontId="1" fillId="7" borderId="25" xfId="0" applyFont="1" applyFill="1" applyBorder="1" applyAlignment="1">
      <alignment horizontal="center" textRotation="90"/>
    </xf>
    <xf numFmtId="0" fontId="1" fillId="7" borderId="13" xfId="0" applyFont="1" applyFill="1" applyBorder="1" applyAlignment="1">
      <alignment horizontal="center" textRotation="90"/>
    </xf>
    <xf numFmtId="0" fontId="1" fillId="7" borderId="23" xfId="0" applyFont="1" applyFill="1" applyBorder="1" applyAlignment="1">
      <alignment horizontal="center" textRotation="90"/>
    </xf>
    <xf numFmtId="0" fontId="0" fillId="3" borderId="38" xfId="0" applyFill="1" applyBorder="1" applyAlignment="1">
      <alignment horizontal="center"/>
    </xf>
    <xf numFmtId="0" fontId="0" fillId="3" borderId="36"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16" fontId="0" fillId="3" borderId="55" xfId="0" applyNumberFormat="1" applyFill="1" applyBorder="1" applyAlignment="1">
      <alignment horizontal="center"/>
    </xf>
    <xf numFmtId="16" fontId="0" fillId="3" borderId="46" xfId="0" applyNumberFormat="1" applyFill="1" applyBorder="1" applyAlignment="1">
      <alignment horizontal="center"/>
    </xf>
    <xf numFmtId="0" fontId="0" fillId="3" borderId="20" xfId="0" applyFill="1" applyBorder="1" applyAlignment="1">
      <alignment horizontal="center"/>
    </xf>
    <xf numFmtId="0" fontId="1" fillId="5" borderId="11" xfId="0" applyFont="1" applyFill="1" applyBorder="1" applyAlignment="1">
      <alignment horizontal="center" textRotation="90"/>
    </xf>
    <xf numFmtId="0" fontId="0" fillId="6" borderId="16" xfId="0" applyFill="1" applyBorder="1" applyAlignment="1">
      <alignment horizontal="center" wrapText="1"/>
    </xf>
    <xf numFmtId="0" fontId="0" fillId="6" borderId="18" xfId="0" applyFill="1" applyBorder="1" applyAlignment="1">
      <alignment horizontal="center" wrapText="1"/>
    </xf>
    <xf numFmtId="0" fontId="0" fillId="6" borderId="19" xfId="0" applyFill="1" applyBorder="1" applyAlignment="1">
      <alignment horizontal="center" wrapText="1"/>
    </xf>
    <xf numFmtId="0" fontId="0" fillId="6" borderId="35" xfId="0" applyFill="1" applyBorder="1" applyAlignment="1">
      <alignment horizontal="center"/>
    </xf>
    <xf numFmtId="0" fontId="0" fillId="4" borderId="31" xfId="0" applyFill="1" applyBorder="1" applyAlignment="1">
      <alignment horizontal="center"/>
    </xf>
    <xf numFmtId="0" fontId="0" fillId="4" borderId="6" xfId="0" applyFill="1" applyBorder="1" applyAlignment="1">
      <alignment horizontal="center"/>
    </xf>
    <xf numFmtId="0" fontId="0" fillId="4" borderId="5" xfId="0" applyFill="1" applyBorder="1" applyAlignment="1">
      <alignment horizontal="center"/>
    </xf>
    <xf numFmtId="0" fontId="0" fillId="4" borderId="38" xfId="0" applyFill="1" applyBorder="1" applyAlignment="1">
      <alignment horizontal="center"/>
    </xf>
    <xf numFmtId="0" fontId="0" fillId="4" borderId="36" xfId="0" applyFill="1" applyBorder="1" applyAlignment="1">
      <alignment horizontal="center"/>
    </xf>
    <xf numFmtId="0" fontId="1" fillId="2" borderId="15" xfId="0" applyFont="1" applyFill="1" applyBorder="1" applyAlignment="1">
      <alignment horizontal="center" textRotation="90" wrapText="1"/>
    </xf>
    <xf numFmtId="0" fontId="1" fillId="2" borderId="17" xfId="0" applyFont="1" applyFill="1" applyBorder="1" applyAlignment="1">
      <alignment horizontal="center" textRotation="90" wrapText="1"/>
    </xf>
    <xf numFmtId="0" fontId="0" fillId="4" borderId="16" xfId="0" applyFill="1" applyBorder="1" applyAlignment="1">
      <alignment horizontal="center" vertical="center" wrapText="1"/>
    </xf>
    <xf numFmtId="0" fontId="0" fillId="4" borderId="18"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37" xfId="0" applyFill="1" applyBorder="1" applyAlignment="1">
      <alignment horizontal="center"/>
    </xf>
    <xf numFmtId="0" fontId="0" fillId="4" borderId="34" xfId="0" applyFill="1" applyBorder="1" applyAlignment="1">
      <alignment horizontal="center"/>
    </xf>
    <xf numFmtId="0" fontId="0" fillId="4" borderId="35" xfId="0" quotePrefix="1" applyFill="1" applyBorder="1" applyAlignment="1">
      <alignment horizontal="center"/>
    </xf>
    <xf numFmtId="0" fontId="0" fillId="3" borderId="25"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23" xfId="0" applyFill="1" applyBorder="1" applyAlignment="1">
      <alignment horizontal="center" vertical="center" wrapText="1"/>
    </xf>
    <xf numFmtId="0" fontId="0" fillId="3" borderId="46" xfId="0" applyFill="1" applyBorder="1" applyAlignment="1">
      <alignment horizontal="center"/>
    </xf>
    <xf numFmtId="0" fontId="0" fillId="3" borderId="40" xfId="0" applyFill="1" applyBorder="1" applyAlignment="1">
      <alignment horizontal="center"/>
    </xf>
    <xf numFmtId="0" fontId="0" fillId="3" borderId="1" xfId="0" applyFill="1" applyBorder="1" applyAlignment="1">
      <alignment horizontal="center"/>
    </xf>
    <xf numFmtId="0" fontId="0" fillId="3" borderId="16" xfId="0" applyFill="1" applyBorder="1" applyAlignment="1">
      <alignment horizontal="left" wrapText="1"/>
    </xf>
    <xf numFmtId="0" fontId="0" fillId="3" borderId="48" xfId="0" applyFill="1" applyBorder="1" applyAlignment="1">
      <alignment horizontal="left" wrapText="1"/>
    </xf>
    <xf numFmtId="0" fontId="0" fillId="3" borderId="4" xfId="0" quotePrefix="1" applyFill="1" applyBorder="1" applyAlignment="1">
      <alignment horizontal="center"/>
    </xf>
    <xf numFmtId="0" fontId="0" fillId="3" borderId="1" xfId="0" quotePrefix="1" applyFill="1" applyBorder="1" applyAlignment="1">
      <alignment horizontal="center"/>
    </xf>
    <xf numFmtId="0" fontId="0" fillId="3" borderId="33" xfId="0" quotePrefix="1" applyFill="1" applyBorder="1" applyAlignment="1">
      <alignment horizontal="center"/>
    </xf>
    <xf numFmtId="0" fontId="0" fillId="3" borderId="34" xfId="0" quotePrefix="1" applyFill="1" applyBorder="1" applyAlignment="1">
      <alignment horizontal="center"/>
    </xf>
    <xf numFmtId="0" fontId="4" fillId="3" borderId="4" xfId="0" quotePrefix="1" applyFont="1" applyFill="1" applyBorder="1" applyAlignment="1">
      <alignment horizontal="center"/>
    </xf>
    <xf numFmtId="0" fontId="0" fillId="6" borderId="55" xfId="0" applyFill="1" applyBorder="1" applyAlignment="1">
      <alignment horizontal="center"/>
    </xf>
    <xf numFmtId="0" fontId="0" fillId="6" borderId="54" xfId="0" applyFill="1" applyBorder="1" applyAlignment="1">
      <alignment horizontal="center"/>
    </xf>
    <xf numFmtId="0" fontId="0" fillId="6" borderId="46" xfId="0" applyFill="1"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center"/>
    </xf>
    <xf numFmtId="0" fontId="4" fillId="3" borderId="4" xfId="0" applyFont="1" applyFill="1" applyBorder="1" applyAlignment="1">
      <alignment horizontal="center" vertical="center"/>
    </xf>
    <xf numFmtId="0" fontId="0" fillId="3" borderId="1" xfId="0" applyFill="1" applyBorder="1" applyAlignment="1">
      <alignment horizontal="center" vertical="center"/>
    </xf>
    <xf numFmtId="0" fontId="0" fillId="6" borderId="3" xfId="0" applyFill="1" applyBorder="1" applyAlignment="1">
      <alignment horizontal="center"/>
    </xf>
    <xf numFmtId="0" fontId="0" fillId="6" borderId="4" xfId="0" applyFill="1" applyBorder="1" applyAlignment="1">
      <alignment horizontal="center"/>
    </xf>
    <xf numFmtId="0" fontId="0" fillId="6" borderId="2" xfId="0" applyFill="1" applyBorder="1" applyAlignment="1">
      <alignment horizontal="center"/>
    </xf>
    <xf numFmtId="0" fontId="0" fillId="0" borderId="0" xfId="0" applyAlignment="1">
      <alignment horizontal="left" wrapText="1"/>
    </xf>
    <xf numFmtId="0" fontId="0" fillId="0" borderId="0" xfId="0" applyAlignment="1">
      <alignment horizontal="left" vertical="top" wrapText="1"/>
    </xf>
    <xf numFmtId="0" fontId="0" fillId="6" borderId="20" xfId="0" applyFill="1" applyBorder="1" applyAlignment="1">
      <alignment horizontal="center"/>
    </xf>
    <xf numFmtId="0" fontId="0" fillId="6" borderId="36" xfId="0" applyFill="1" applyBorder="1" applyAlignment="1">
      <alignment horizontal="center"/>
    </xf>
    <xf numFmtId="0" fontId="0" fillId="6" borderId="38" xfId="0" applyFill="1" applyBorder="1" applyAlignment="1">
      <alignment horizontal="center"/>
    </xf>
    <xf numFmtId="0" fontId="4" fillId="3" borderId="4" xfId="0" applyFont="1" applyFill="1" applyBorder="1" applyAlignment="1">
      <alignment horizontal="center"/>
    </xf>
    <xf numFmtId="0" fontId="0" fillId="6" borderId="49" xfId="0" applyFill="1" applyBorder="1" applyAlignment="1">
      <alignment horizontal="center"/>
    </xf>
    <xf numFmtId="0" fontId="0" fillId="3" borderId="35" xfId="0" applyFill="1" applyBorder="1" applyAlignment="1">
      <alignment horizontal="center"/>
    </xf>
    <xf numFmtId="0" fontId="0" fillId="3" borderId="33" xfId="0" applyFill="1" applyBorder="1" applyAlignment="1">
      <alignment horizontal="center"/>
    </xf>
    <xf numFmtId="0" fontId="0" fillId="3" borderId="55" xfId="0" applyFill="1" applyBorder="1" applyAlignment="1">
      <alignment horizontal="center"/>
    </xf>
    <xf numFmtId="0" fontId="0" fillId="3" borderId="49" xfId="0" applyFill="1" applyBorder="1" applyAlignment="1">
      <alignment horizontal="center"/>
    </xf>
    <xf numFmtId="0" fontId="1" fillId="7" borderId="15" xfId="0" applyFont="1" applyFill="1" applyBorder="1" applyAlignment="1">
      <alignment horizontal="center" textRotation="90"/>
    </xf>
    <xf numFmtId="0" fontId="1" fillId="7" borderId="17" xfId="0" applyFont="1" applyFill="1" applyBorder="1" applyAlignment="1">
      <alignment horizontal="center" textRotation="90"/>
    </xf>
    <xf numFmtId="0" fontId="1" fillId="7" borderId="9" xfId="0" applyFont="1" applyFill="1" applyBorder="1" applyAlignment="1">
      <alignment horizontal="center" textRotation="90"/>
    </xf>
    <xf numFmtId="0" fontId="1" fillId="0" borderId="39" xfId="0" applyFont="1" applyBorder="1" applyAlignment="1">
      <alignment horizontal="center"/>
    </xf>
  </cellXfs>
  <cellStyles count="5">
    <cellStyle name="Standard" xfId="0" builtinId="0"/>
    <cellStyle name="Standard_arable-legume" xfId="3"/>
    <cellStyle name="Standard_Input data crop_1" xfId="4"/>
    <cellStyle name="Standard_Tabelle1" xfId="1"/>
    <cellStyle name="Standard_Tabelle1_1" xfId="2"/>
  </cellStyles>
  <dxfs count="0"/>
  <tableStyles count="0" defaultTableStyle="TableStyleMedium2" defaultPivotStyle="PivotStyleLight16"/>
  <colors>
    <mruColors>
      <color rgb="FFCC99FF"/>
      <color rgb="FFCC9900"/>
      <color rgb="FF996600"/>
      <color rgb="FFCCCCFF"/>
      <color rgb="FF9933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9</xdr:col>
      <xdr:colOff>656167</xdr:colOff>
      <xdr:row>2</xdr:row>
      <xdr:rowOff>152400</xdr:rowOff>
    </xdr:to>
    <xdr:sp macro="" textlink="">
      <xdr:nvSpPr>
        <xdr:cNvPr id="2" name="Textfeld 1">
          <a:extLst>
            <a:ext uri="{FF2B5EF4-FFF2-40B4-BE49-F238E27FC236}">
              <a16:creationId xmlns="" xmlns:a16="http://schemas.microsoft.com/office/drawing/2014/main" id="{00000000-0008-0000-0000-000002000000}"/>
            </a:ext>
          </a:extLst>
        </xdr:cNvPr>
        <xdr:cNvSpPr txBox="1"/>
      </xdr:nvSpPr>
      <xdr:spPr>
        <a:xfrm>
          <a:off x="2" y="0"/>
          <a:ext cx="11535832"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At first we want to ask you for the site characteristics of your region. If you have</a:t>
          </a:r>
          <a:r>
            <a:rPr lang="de-DE" sz="1100" b="1" baseline="0">
              <a:solidFill>
                <a:schemeClr val="dk1"/>
              </a:solidFill>
              <a:effectLst/>
              <a:latin typeface="+mn-lt"/>
              <a:ea typeface="+mn-ea"/>
              <a:cs typeface="+mn-cs"/>
            </a:rPr>
            <a:t> </a:t>
          </a:r>
          <a:r>
            <a:rPr lang="de-DE" sz="1100" b="1">
              <a:solidFill>
                <a:schemeClr val="dk1"/>
              </a:solidFill>
              <a:effectLst/>
              <a:latin typeface="+mn-lt"/>
              <a:ea typeface="+mn-ea"/>
              <a:cs typeface="+mn-cs"/>
            </a:rPr>
            <a:t>information for more then one region or for different</a:t>
          </a:r>
          <a:r>
            <a:rPr lang="de-DE" sz="1100" b="1" baseline="0">
              <a:solidFill>
                <a:schemeClr val="dk1"/>
              </a:solidFill>
              <a:effectLst/>
              <a:latin typeface="+mn-lt"/>
              <a:ea typeface="+mn-ea"/>
              <a:cs typeface="+mn-cs"/>
            </a:rPr>
            <a:t> sites within your region e.g. different soil types</a:t>
          </a:r>
          <a:r>
            <a:rPr lang="de-DE" sz="1100" b="1">
              <a:solidFill>
                <a:schemeClr val="dk1"/>
              </a:solidFill>
              <a:effectLst/>
              <a:latin typeface="+mn-lt"/>
              <a:ea typeface="+mn-ea"/>
              <a:cs typeface="+mn-cs"/>
            </a:rPr>
            <a:t>, we kindly ask you to copy the whole excel file and fill in</a:t>
          </a:r>
          <a:r>
            <a:rPr lang="de-DE" sz="1100" b="1" baseline="0">
              <a:solidFill>
                <a:schemeClr val="dk1"/>
              </a:solidFill>
              <a:effectLst/>
              <a:latin typeface="+mn-lt"/>
              <a:ea typeface="+mn-ea"/>
              <a:cs typeface="+mn-cs"/>
            </a:rPr>
            <a:t> </a:t>
          </a:r>
          <a:r>
            <a:rPr lang="de-DE" sz="1100" b="1">
              <a:solidFill>
                <a:schemeClr val="dk1"/>
              </a:solidFill>
              <a:effectLst/>
              <a:latin typeface="+mn-lt"/>
              <a:ea typeface="+mn-ea"/>
              <a:cs typeface="+mn-cs"/>
            </a:rPr>
            <a:t>the information for each</a:t>
          </a:r>
          <a:r>
            <a:rPr lang="de-DE" sz="1100" b="1" baseline="0">
              <a:solidFill>
                <a:schemeClr val="dk1"/>
              </a:solidFill>
              <a:effectLst/>
              <a:latin typeface="+mn-lt"/>
              <a:ea typeface="+mn-ea"/>
              <a:cs typeface="+mn-cs"/>
            </a:rPr>
            <a:t> site or region</a:t>
          </a:r>
          <a:r>
            <a:rPr lang="de-DE" sz="1100" b="1">
              <a:solidFill>
                <a:schemeClr val="dk1"/>
              </a:solidFill>
              <a:effectLst/>
              <a:latin typeface="+mn-lt"/>
              <a:ea typeface="+mn-ea"/>
              <a:cs typeface="+mn-cs"/>
            </a:rPr>
            <a:t>,</a:t>
          </a:r>
          <a:r>
            <a:rPr lang="de-DE" sz="1100" b="1" baseline="0">
              <a:solidFill>
                <a:schemeClr val="dk1"/>
              </a:solidFill>
              <a:effectLst/>
              <a:latin typeface="+mn-lt"/>
              <a:ea typeface="+mn-ea"/>
              <a:cs typeface="+mn-cs"/>
            </a:rPr>
            <a:t> using one excel file per site or region.</a:t>
          </a:r>
          <a:endParaRPr lang="de-DE">
            <a:effectLst/>
          </a:endParaRPr>
        </a:p>
      </xdr:txBody>
    </xdr:sp>
    <xdr:clientData/>
  </xdr:twoCellAnchor>
  <xdr:twoCellAnchor>
    <xdr:from>
      <xdr:col>5</xdr:col>
      <xdr:colOff>133350</xdr:colOff>
      <xdr:row>3</xdr:row>
      <xdr:rowOff>114300</xdr:rowOff>
    </xdr:from>
    <xdr:to>
      <xdr:col>9</xdr:col>
      <xdr:colOff>638175</xdr:colOff>
      <xdr:row>6</xdr:row>
      <xdr:rowOff>66675</xdr:rowOff>
    </xdr:to>
    <xdr:sp macro="" textlink="">
      <xdr:nvSpPr>
        <xdr:cNvPr id="3" name="Textfeld 2">
          <a:extLst>
            <a:ext uri="{FF2B5EF4-FFF2-40B4-BE49-F238E27FC236}">
              <a16:creationId xmlns="" xmlns:a16="http://schemas.microsoft.com/office/drawing/2014/main" id="{00000000-0008-0000-0000-000003000000}"/>
            </a:ext>
          </a:extLst>
        </xdr:cNvPr>
        <xdr:cNvSpPr txBox="1"/>
      </xdr:nvSpPr>
      <xdr:spPr>
        <a:xfrm>
          <a:off x="7962900" y="685800"/>
          <a:ext cx="35528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 You find an overview on the codes on following website: </a:t>
          </a:r>
        </a:p>
        <a:p>
          <a:r>
            <a:rPr lang="de-DE" sz="1100"/>
            <a:t>https://eur-lex.europa.eu/eli/reg/2016/2066/oj</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433917</xdr:colOff>
      <xdr:row>4</xdr:row>
      <xdr:rowOff>163286</xdr:rowOff>
    </xdr:to>
    <xdr:sp macro="" textlink="">
      <xdr:nvSpPr>
        <xdr:cNvPr id="2" name="Textfeld 1">
          <a:extLst>
            <a:ext uri="{FF2B5EF4-FFF2-40B4-BE49-F238E27FC236}">
              <a16:creationId xmlns="" xmlns:a16="http://schemas.microsoft.com/office/drawing/2014/main" id="{B6C024B0-A45A-4A4C-81B9-4205FCFFE028}"/>
            </a:ext>
          </a:extLst>
        </xdr:cNvPr>
        <xdr:cNvSpPr txBox="1"/>
      </xdr:nvSpPr>
      <xdr:spPr>
        <a:xfrm>
          <a:off x="0" y="0"/>
          <a:ext cx="16680392" cy="88401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200" b="1"/>
            <a:t>In the following four sheets please fill in information on crop rotations and crop production activities for all selected crops. </a:t>
          </a:r>
        </a:p>
        <a:p>
          <a:r>
            <a:rPr lang="de-DE" sz="1200" b="1"/>
            <a:t>Please provide at least three rotation examples, one without legumes that represents current farming and a minimum of two alternatives with legumes. The length of the rotation can vary and</a:t>
          </a:r>
          <a:r>
            <a:rPr lang="de-DE" sz="1200" b="1" baseline="0"/>
            <a:t> should at least have three years</a:t>
          </a:r>
          <a:r>
            <a:rPr lang="de-DE" sz="1200" b="1"/>
            <a:t>.</a:t>
          </a:r>
        </a:p>
        <a:p>
          <a:r>
            <a:rPr lang="de-DE" sz="1200" b="1"/>
            <a:t>To simplify the completion</a:t>
          </a:r>
          <a:r>
            <a:rPr lang="de-DE" sz="1200" b="1" baseline="0"/>
            <a:t> for you, an example with winter rape is provided in the first sheet.</a:t>
          </a:r>
          <a:endParaRPr lang="de-DE" sz="1200" b="1"/>
        </a:p>
        <a:p>
          <a:r>
            <a:rPr lang="de-DE" sz="1200" b="1"/>
            <a:t>Please</a:t>
          </a:r>
          <a:r>
            <a:rPr lang="de-DE" sz="1200" b="1" baseline="0"/>
            <a:t> use in terms of price and costs values of the years indicated in the first sheet.</a:t>
          </a:r>
          <a:endParaRPr lang="de-DE"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269873</xdr:colOff>
      <xdr:row>2</xdr:row>
      <xdr:rowOff>152400</xdr:rowOff>
    </xdr:to>
    <xdr:sp macro="" textlink="">
      <xdr:nvSpPr>
        <xdr:cNvPr id="2" name="Textfeld 1">
          <a:extLst>
            <a:ext uri="{FF2B5EF4-FFF2-40B4-BE49-F238E27FC236}">
              <a16:creationId xmlns="" xmlns:a16="http://schemas.microsoft.com/office/drawing/2014/main" id="{00000000-0008-0000-0500-000002000000}"/>
            </a:ext>
          </a:extLst>
        </xdr:cNvPr>
        <xdr:cNvSpPr txBox="1"/>
      </xdr:nvSpPr>
      <xdr:spPr>
        <a:xfrm>
          <a:off x="0" y="0"/>
          <a:ext cx="12033248"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In order to calculate</a:t>
          </a:r>
          <a:r>
            <a:rPr lang="de-DE" sz="1100" b="1" baseline="0">
              <a:solidFill>
                <a:schemeClr val="dk1"/>
              </a:solidFill>
              <a:effectLst/>
              <a:latin typeface="+mn-lt"/>
              <a:ea typeface="+mn-ea"/>
              <a:cs typeface="+mn-cs"/>
            </a:rPr>
            <a:t> yield stability, we need data on yields of the crops you indicated earlier in the crop rotations for at least ten years in a row. It is necessary that the data for all crops are from one site.  An example with winter rye is provided in the first column. </a:t>
          </a:r>
          <a:endParaRPr lang="de-DE">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
  <sheetViews>
    <sheetView tabSelected="1" workbookViewId="0">
      <selection activeCell="O11" sqref="O11"/>
    </sheetView>
  </sheetViews>
  <sheetFormatPr baseColWidth="10" defaultColWidth="11.42578125" defaultRowHeight="15" x14ac:dyDescent="0.25"/>
  <cols>
    <col min="1" max="1" width="17.42578125" style="4" bestFit="1" customWidth="1"/>
    <col min="2" max="8" width="11.42578125" style="4"/>
    <col min="9" max="9" width="0" style="4" hidden="1" customWidth="1"/>
    <col min="10" max="11" width="11.42578125" style="4"/>
    <col min="12" max="12" width="0" style="4" hidden="1" customWidth="1"/>
    <col min="13" max="16384" width="11.42578125" style="4"/>
  </cols>
  <sheetData>
    <row r="1" spans="1:17" ht="76.5" x14ac:dyDescent="0.35">
      <c r="B1" s="4" t="s">
        <v>226</v>
      </c>
      <c r="C1" s="4" t="s">
        <v>227</v>
      </c>
      <c r="D1" s="4" t="s">
        <v>228</v>
      </c>
      <c r="E1" s="183" t="s">
        <v>420</v>
      </c>
      <c r="F1" s="183" t="s">
        <v>255</v>
      </c>
      <c r="G1" s="172" t="s">
        <v>256</v>
      </c>
      <c r="H1" s="172" t="s">
        <v>257</v>
      </c>
      <c r="I1" s="157" t="s">
        <v>260</v>
      </c>
      <c r="J1" s="157" t="s">
        <v>432</v>
      </c>
      <c r="K1" s="157" t="s">
        <v>258</v>
      </c>
      <c r="L1" s="157" t="s">
        <v>259</v>
      </c>
      <c r="M1" s="157" t="s">
        <v>261</v>
      </c>
      <c r="N1" s="157" t="s">
        <v>266</v>
      </c>
      <c r="O1" s="157" t="s">
        <v>262</v>
      </c>
      <c r="P1" s="172" t="s">
        <v>369</v>
      </c>
      <c r="Q1" s="157" t="s">
        <v>263</v>
      </c>
    </row>
    <row r="2" spans="1:17" x14ac:dyDescent="0.25">
      <c r="A2" s="4" t="s">
        <v>229</v>
      </c>
      <c r="B2" s="4" t="s">
        <v>230</v>
      </c>
      <c r="C2" s="4" t="s">
        <v>230</v>
      </c>
      <c r="D2" s="4" t="s">
        <v>230</v>
      </c>
      <c r="E2" s="158">
        <f>GM!B15</f>
        <v>292.06666666666666</v>
      </c>
      <c r="F2" s="158"/>
      <c r="G2" s="158">
        <f>E2-(0.15*I2)</f>
        <v>91.432666666666677</v>
      </c>
      <c r="H2" s="158">
        <f>E2-(0.05*I2)</f>
        <v>225.18866666666668</v>
      </c>
      <c r="I2" s="158">
        <f>L2*5.62</f>
        <v>1337.56</v>
      </c>
      <c r="J2" s="158">
        <f>'NO3-N'!K6</f>
        <v>65.405842424242437</v>
      </c>
      <c r="K2" s="158">
        <f>'N fertilizer'!B30</f>
        <v>264.66666666666669</v>
      </c>
      <c r="L2" s="158">
        <f>'N fertilizer'!C32</f>
        <v>238</v>
      </c>
      <c r="M2" s="180">
        <f>'N2O calculations'!A31/3</f>
        <v>9.092686784761904</v>
      </c>
      <c r="N2" s="153">
        <f>'Data for yield stability'!P8</f>
        <v>0.16148615375490616</v>
      </c>
      <c r="O2" s="158">
        <f>'Protein &amp; Energy Output'!B15</f>
        <v>989.53800000000012</v>
      </c>
      <c r="P2" s="158">
        <f>'Protein &amp; Energy Output'!B20</f>
        <v>196.85490000000001</v>
      </c>
      <c r="Q2" s="152">
        <f>'Crop Diversity'!E17</f>
        <v>0</v>
      </c>
    </row>
    <row r="3" spans="1:17" x14ac:dyDescent="0.25">
      <c r="A3" s="4" t="s">
        <v>231</v>
      </c>
      <c r="B3" s="4" t="s">
        <v>235</v>
      </c>
      <c r="C3" s="4" t="s">
        <v>134</v>
      </c>
      <c r="E3" s="158">
        <f>GM!I15</f>
        <v>562.39999999999986</v>
      </c>
      <c r="F3" s="158"/>
      <c r="G3" s="158">
        <f>E3-(0.15*I3)</f>
        <v>458.96389999999985</v>
      </c>
      <c r="H3" s="158">
        <f>E3-(0.05*I3)</f>
        <v>527.92129999999986</v>
      </c>
      <c r="I3" s="158">
        <f>L3*5.62</f>
        <v>689.57400000000007</v>
      </c>
      <c r="J3" s="158">
        <f>'NO3-N'!K10</f>
        <v>45.890951253992952</v>
      </c>
      <c r="K3" s="158">
        <f>'N fertilizer'!I30</f>
        <v>122.7</v>
      </c>
      <c r="L3" s="158">
        <f>K3</f>
        <v>122.7</v>
      </c>
      <c r="M3" s="180">
        <f>'N2O calculations'!H31/3</f>
        <v>3.3826239419174429</v>
      </c>
      <c r="N3" s="153">
        <f>'Data for yield stability'!P9</f>
        <v>0.20077338419046489</v>
      </c>
      <c r="O3" s="158">
        <f>'Protein &amp; Energy Output'!F15</f>
        <v>1337.6697000000001</v>
      </c>
      <c r="P3" s="158">
        <f>'Protein &amp; Energy Output'!F20</f>
        <v>157.77712</v>
      </c>
      <c r="Q3" s="152">
        <f>'Crop Diversity'!E23</f>
        <v>0.69314718055994529</v>
      </c>
    </row>
  </sheetData>
  <pageMargins left="0.7" right="0.7" top="0.78740157499999996" bottom="0.78740157499999996"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L21" sqref="L21"/>
    </sheetView>
  </sheetViews>
  <sheetFormatPr baseColWidth="10" defaultColWidth="11.42578125" defaultRowHeight="15" x14ac:dyDescent="0.25"/>
  <cols>
    <col min="1" max="16384" width="11.42578125" style="4"/>
  </cols>
  <sheetData>
    <row r="1" spans="1:6" x14ac:dyDescent="0.25">
      <c r="C1" s="4" t="s">
        <v>226</v>
      </c>
      <c r="D1" s="4" t="s">
        <v>227</v>
      </c>
      <c r="E1" s="4" t="s">
        <v>228</v>
      </c>
    </row>
    <row r="2" spans="1:6" x14ac:dyDescent="0.25">
      <c r="A2" s="4" t="s">
        <v>229</v>
      </c>
      <c r="C2" s="4" t="s">
        <v>230</v>
      </c>
      <c r="D2" s="4" t="s">
        <v>230</v>
      </c>
      <c r="E2" s="4" t="s">
        <v>230</v>
      </c>
    </row>
    <row r="3" spans="1:6" x14ac:dyDescent="0.25">
      <c r="A3" s="4" t="s">
        <v>231</v>
      </c>
      <c r="C3" s="4" t="s">
        <v>235</v>
      </c>
      <c r="D3" s="4" t="s">
        <v>134</v>
      </c>
    </row>
    <row r="8" spans="1:6" ht="18" x14ac:dyDescent="0.35">
      <c r="A8" s="4" t="s">
        <v>242</v>
      </c>
      <c r="C8" s="4" t="s">
        <v>243</v>
      </c>
      <c r="E8" s="4" t="s">
        <v>244</v>
      </c>
      <c r="F8" s="4">
        <f>LN(3)</f>
        <v>1.0986122886681098</v>
      </c>
    </row>
    <row r="12" spans="1:6" ht="18" x14ac:dyDescent="0.35">
      <c r="A12" s="4" t="s">
        <v>245</v>
      </c>
      <c r="B12" s="4" t="s">
        <v>246</v>
      </c>
      <c r="C12" s="4" t="s">
        <v>247</v>
      </c>
      <c r="D12" s="4" t="s">
        <v>248</v>
      </c>
      <c r="E12" s="4" t="s">
        <v>249</v>
      </c>
    </row>
    <row r="13" spans="1:6" x14ac:dyDescent="0.25">
      <c r="A13" s="4" t="s">
        <v>250</v>
      </c>
    </row>
    <row r="14" spans="1:6" x14ac:dyDescent="0.25">
      <c r="A14" s="4" t="s">
        <v>251</v>
      </c>
      <c r="B14" s="153">
        <v>1</v>
      </c>
      <c r="C14" s="4">
        <v>1</v>
      </c>
      <c r="D14" s="4">
        <f>LN(C14)</f>
        <v>0</v>
      </c>
      <c r="E14" s="4">
        <f>C14*D14</f>
        <v>0</v>
      </c>
    </row>
    <row r="15" spans="1:6" x14ac:dyDescent="0.25">
      <c r="A15" s="4" t="s">
        <v>252</v>
      </c>
      <c r="B15" s="153"/>
      <c r="E15" s="4">
        <f>C15*D15</f>
        <v>0</v>
      </c>
    </row>
    <row r="16" spans="1:6" x14ac:dyDescent="0.25">
      <c r="A16" s="4" t="s">
        <v>253</v>
      </c>
    </row>
    <row r="17" spans="1:5" x14ac:dyDescent="0.25">
      <c r="E17" s="4">
        <f>-(E14+E15+E16)</f>
        <v>0</v>
      </c>
    </row>
    <row r="19" spans="1:5" x14ac:dyDescent="0.25">
      <c r="A19" s="4" t="s">
        <v>254</v>
      </c>
    </row>
    <row r="20" spans="1:5" x14ac:dyDescent="0.25">
      <c r="A20" s="4" t="s">
        <v>251</v>
      </c>
      <c r="B20" s="153">
        <v>0.5</v>
      </c>
      <c r="C20" s="4">
        <v>0.5</v>
      </c>
      <c r="D20" s="4">
        <f>LN(C20)</f>
        <v>-0.69314718055994529</v>
      </c>
      <c r="E20" s="4">
        <f>C20*D20</f>
        <v>-0.34657359027997264</v>
      </c>
    </row>
    <row r="21" spans="1:5" x14ac:dyDescent="0.25">
      <c r="A21" s="4" t="s">
        <v>252</v>
      </c>
      <c r="B21" s="153"/>
    </row>
    <row r="22" spans="1:5" x14ac:dyDescent="0.25">
      <c r="A22" s="4" t="s">
        <v>253</v>
      </c>
      <c r="B22" s="153">
        <v>0.5</v>
      </c>
      <c r="C22" s="4">
        <v>0.5</v>
      </c>
      <c r="D22" s="4">
        <f>LN(C22)</f>
        <v>-0.69314718055994529</v>
      </c>
      <c r="E22" s="4">
        <f>C22*D22</f>
        <v>-0.34657359027997264</v>
      </c>
    </row>
    <row r="23" spans="1:5" x14ac:dyDescent="0.25">
      <c r="E23" s="4">
        <f>-(E20+E21+E22)</f>
        <v>0.69314718055994529</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F24" sqref="F24"/>
    </sheetView>
  </sheetViews>
  <sheetFormatPr baseColWidth="10" defaultColWidth="10.85546875" defaultRowHeight="15" x14ac:dyDescent="0.25"/>
  <cols>
    <col min="1" max="1" width="16.42578125" bestFit="1" customWidth="1"/>
    <col min="3" max="3" width="20" customWidth="1"/>
    <col min="4" max="4" width="18.28515625" bestFit="1" customWidth="1"/>
    <col min="5" max="5" width="14.42578125" bestFit="1" customWidth="1"/>
    <col min="10" max="10" width="19" bestFit="1" customWidth="1"/>
    <col min="11" max="11" width="17.28515625" bestFit="1" customWidth="1"/>
  </cols>
  <sheetData>
    <row r="1" spans="1:12" x14ac:dyDescent="0.25">
      <c r="B1" s="174" t="s">
        <v>360</v>
      </c>
      <c r="C1" s="174" t="s">
        <v>361</v>
      </c>
      <c r="D1" s="174" t="s">
        <v>362</v>
      </c>
      <c r="E1" s="174" t="s">
        <v>363</v>
      </c>
      <c r="F1" s="174" t="s">
        <v>364</v>
      </c>
      <c r="G1" s="174" t="s">
        <v>365</v>
      </c>
      <c r="H1" s="174" t="s">
        <v>366</v>
      </c>
      <c r="I1" s="174" t="s">
        <v>419</v>
      </c>
      <c r="J1" s="174" t="s">
        <v>368</v>
      </c>
      <c r="K1" s="174" t="s">
        <v>367</v>
      </c>
    </row>
    <row r="2" spans="1:12" x14ac:dyDescent="0.25">
      <c r="A2" s="4" t="s">
        <v>250</v>
      </c>
    </row>
    <row r="3" spans="1:12" x14ac:dyDescent="0.25">
      <c r="A3" s="4" t="s">
        <v>230</v>
      </c>
      <c r="B3" s="4">
        <v>11.9</v>
      </c>
      <c r="C3" s="175">
        <v>238</v>
      </c>
      <c r="D3" s="158">
        <v>80</v>
      </c>
      <c r="E3" s="176">
        <v>320.72448000000003</v>
      </c>
      <c r="F3" s="175">
        <v>96.790909090909096</v>
      </c>
      <c r="G3" s="175">
        <v>270.17759999999998</v>
      </c>
      <c r="H3" s="175">
        <v>80.613309090909098</v>
      </c>
      <c r="I3" s="158">
        <v>0</v>
      </c>
      <c r="J3" s="177">
        <v>1</v>
      </c>
      <c r="K3" s="175">
        <v>80.613309090909098</v>
      </c>
      <c r="L3" s="158"/>
    </row>
    <row r="4" spans="1:12" x14ac:dyDescent="0.25">
      <c r="A4" s="4" t="s">
        <v>230</v>
      </c>
      <c r="B4" s="4">
        <v>13</v>
      </c>
      <c r="C4" s="175">
        <v>238</v>
      </c>
      <c r="D4" s="158">
        <v>0</v>
      </c>
      <c r="E4" s="176">
        <v>240.72448</v>
      </c>
      <c r="F4" s="175">
        <v>96.790909090909096</v>
      </c>
      <c r="G4" s="175">
        <v>295.15199999999999</v>
      </c>
      <c r="H4" s="175">
        <v>39.638909090909102</v>
      </c>
      <c r="I4" s="158">
        <v>0</v>
      </c>
      <c r="J4" s="177">
        <v>1</v>
      </c>
      <c r="K4" s="175">
        <v>39.638909090909102</v>
      </c>
      <c r="L4" s="158"/>
    </row>
    <row r="5" spans="1:12" x14ac:dyDescent="0.25">
      <c r="A5" s="4" t="s">
        <v>230</v>
      </c>
      <c r="B5" s="4">
        <v>11.4</v>
      </c>
      <c r="C5" s="176">
        <v>238</v>
      </c>
      <c r="D5" s="158">
        <v>0</v>
      </c>
      <c r="E5" s="176">
        <v>240.72448</v>
      </c>
      <c r="F5" s="175">
        <v>96.790909090909096</v>
      </c>
      <c r="G5" s="175">
        <v>258.82560000000001</v>
      </c>
      <c r="H5" s="175">
        <v>75.965309090909102</v>
      </c>
      <c r="I5" s="158">
        <v>0</v>
      </c>
      <c r="J5" s="177">
        <v>1</v>
      </c>
      <c r="K5" s="175">
        <v>75.965309090909102</v>
      </c>
      <c r="L5" s="158"/>
    </row>
    <row r="6" spans="1:12" x14ac:dyDescent="0.25">
      <c r="B6" s="4"/>
      <c r="C6" s="158"/>
      <c r="D6" s="158"/>
      <c r="E6" s="158"/>
      <c r="F6" s="158"/>
      <c r="G6" s="158"/>
      <c r="H6" s="158"/>
      <c r="I6" s="158"/>
      <c r="J6" s="158"/>
      <c r="K6" s="158">
        <f>AVERAGE(K3:K5)</f>
        <v>65.405842424242437</v>
      </c>
      <c r="L6" s="158"/>
    </row>
    <row r="7" spans="1:12" x14ac:dyDescent="0.25">
      <c r="A7" s="4" t="s">
        <v>254</v>
      </c>
      <c r="B7" s="4"/>
      <c r="C7" s="158"/>
      <c r="D7" s="158"/>
      <c r="E7" s="158"/>
      <c r="F7" s="158"/>
      <c r="G7" s="158"/>
      <c r="H7" s="158"/>
      <c r="I7" s="158"/>
      <c r="J7" s="158"/>
      <c r="K7" s="158"/>
      <c r="L7" s="158"/>
    </row>
    <row r="8" spans="1:12" x14ac:dyDescent="0.25">
      <c r="A8" s="4" t="s">
        <v>235</v>
      </c>
      <c r="B8" s="4">
        <v>13.7</v>
      </c>
      <c r="C8" s="175">
        <v>244</v>
      </c>
      <c r="D8" s="158">
        <v>0</v>
      </c>
      <c r="E8" s="176">
        <v>246.72448</v>
      </c>
      <c r="F8" s="175">
        <v>125.828181818182</v>
      </c>
      <c r="G8" s="175">
        <v>311.04480000000001</v>
      </c>
      <c r="H8" s="175">
        <v>58.783381818181901</v>
      </c>
      <c r="I8" s="158">
        <v>0</v>
      </c>
      <c r="J8" s="177">
        <v>1</v>
      </c>
      <c r="K8" s="175">
        <v>58.783381818181901</v>
      </c>
      <c r="L8" s="158"/>
    </row>
    <row r="9" spans="1:12" x14ac:dyDescent="0.25">
      <c r="A9" s="4" t="s">
        <v>134</v>
      </c>
      <c r="B9" s="4">
        <v>4.3150000000000004</v>
      </c>
      <c r="C9" s="176">
        <v>1.4</v>
      </c>
      <c r="D9" s="158">
        <v>0</v>
      </c>
      <c r="E9" s="176">
        <v>224.67595504205499</v>
      </c>
      <c r="F9" s="175">
        <v>89.345454545454501</v>
      </c>
      <c r="G9" s="175">
        <v>57.746933855650497</v>
      </c>
      <c r="H9" s="175">
        <v>32.998520689804003</v>
      </c>
      <c r="I9" s="175">
        <v>206.487294249163</v>
      </c>
      <c r="J9" s="177">
        <v>1</v>
      </c>
      <c r="K9" s="175">
        <v>32.998520689804003</v>
      </c>
      <c r="L9" s="158"/>
    </row>
    <row r="10" spans="1:12" x14ac:dyDescent="0.25">
      <c r="B10" s="4"/>
      <c r="C10" s="158"/>
      <c r="D10" s="158"/>
      <c r="E10" s="158"/>
      <c r="F10" s="158"/>
      <c r="G10" s="158"/>
      <c r="H10" s="158"/>
      <c r="I10" s="158"/>
      <c r="J10" s="177"/>
      <c r="K10" s="158">
        <f>AVERAGE(K8:K9)</f>
        <v>45.890951253992952</v>
      </c>
      <c r="L10" s="158"/>
    </row>
    <row r="11" spans="1:12" x14ac:dyDescent="0.25">
      <c r="B11" s="4"/>
      <c r="C11" s="158"/>
      <c r="D11" s="158"/>
      <c r="E11" s="158"/>
      <c r="F11" s="158"/>
      <c r="G11" s="158"/>
      <c r="H11" s="158"/>
      <c r="K11" s="158"/>
    </row>
    <row r="12" spans="1:12" x14ac:dyDescent="0.25">
      <c r="B12" s="4"/>
    </row>
    <row r="13" spans="1:12" x14ac:dyDescent="0.25">
      <c r="A13" s="5" t="s">
        <v>421</v>
      </c>
      <c r="B13" s="4"/>
      <c r="C13" s="4"/>
      <c r="D13" s="4"/>
      <c r="E13" s="4"/>
      <c r="F13" s="4"/>
      <c r="G13" s="4"/>
      <c r="H13" s="4"/>
    </row>
    <row r="14" spans="1:12" x14ac:dyDescent="0.25">
      <c r="A14" s="4"/>
      <c r="B14" s="4"/>
      <c r="C14" s="4"/>
      <c r="D14" s="4"/>
      <c r="E14" s="4"/>
      <c r="F14" s="4"/>
      <c r="G14" s="4"/>
      <c r="H14" s="4"/>
    </row>
    <row r="15" spans="1:12" x14ac:dyDescent="0.25">
      <c r="A15" s="4" t="s">
        <v>422</v>
      </c>
      <c r="B15" s="4"/>
      <c r="C15" s="4"/>
      <c r="D15" s="4"/>
      <c r="E15" s="4"/>
      <c r="F15" s="4"/>
      <c r="G15" s="4"/>
      <c r="H15" s="4"/>
    </row>
    <row r="16" spans="1:12" x14ac:dyDescent="0.25">
      <c r="A16" s="4"/>
      <c r="B16" s="4"/>
      <c r="C16" s="4"/>
      <c r="D16" s="4"/>
      <c r="E16" s="4"/>
      <c r="F16" s="4"/>
      <c r="G16" s="4"/>
      <c r="H16" s="4"/>
      <c r="J16" s="4"/>
      <c r="K16" s="4"/>
    </row>
    <row r="17" spans="1:11" x14ac:dyDescent="0.25">
      <c r="A17" s="4" t="s">
        <v>423</v>
      </c>
      <c r="B17" s="4"/>
      <c r="C17" s="4"/>
      <c r="D17" s="25" t="s">
        <v>424</v>
      </c>
      <c r="E17" s="4"/>
      <c r="F17" s="4"/>
      <c r="G17" s="4"/>
      <c r="H17" s="4"/>
      <c r="J17" s="4"/>
      <c r="K17" s="4"/>
    </row>
    <row r="18" spans="1:11" x14ac:dyDescent="0.25">
      <c r="A18" s="4"/>
      <c r="B18" s="4"/>
      <c r="C18" s="4"/>
      <c r="D18" s="4"/>
      <c r="E18" s="4"/>
      <c r="F18" s="4"/>
      <c r="G18" s="4"/>
      <c r="H18" s="4"/>
      <c r="J18" s="4"/>
      <c r="K18" s="4"/>
    </row>
    <row r="19" spans="1:11" x14ac:dyDescent="0.25">
      <c r="A19" s="4" t="s">
        <v>425</v>
      </c>
      <c r="B19" s="4"/>
      <c r="C19" s="4"/>
      <c r="D19" s="25" t="s">
        <v>426</v>
      </c>
      <c r="E19" s="4"/>
      <c r="F19" s="4"/>
      <c r="G19" s="4"/>
      <c r="H19" s="4"/>
      <c r="J19" s="4"/>
      <c r="K19" s="4"/>
    </row>
    <row r="20" spans="1:11" x14ac:dyDescent="0.25">
      <c r="A20" s="4"/>
      <c r="B20" s="4"/>
      <c r="C20" s="4"/>
      <c r="D20" s="4"/>
      <c r="E20" s="4"/>
      <c r="F20" s="4"/>
      <c r="G20" s="4"/>
      <c r="H20" s="4"/>
      <c r="J20" s="4"/>
      <c r="K20" s="4"/>
    </row>
    <row r="21" spans="1:11" x14ac:dyDescent="0.25">
      <c r="A21" s="4" t="s">
        <v>427</v>
      </c>
      <c r="B21" s="4"/>
      <c r="C21" s="4"/>
      <c r="D21" s="4"/>
      <c r="E21" s="4"/>
      <c r="F21" s="4"/>
      <c r="G21" s="4"/>
      <c r="H21" s="4"/>
    </row>
    <row r="22" spans="1:11" x14ac:dyDescent="0.25">
      <c r="A22" s="4" t="s">
        <v>431</v>
      </c>
      <c r="B22" s="4"/>
      <c r="C22" s="4"/>
      <c r="D22" s="25" t="s">
        <v>428</v>
      </c>
      <c r="E22" s="4"/>
      <c r="F22" s="4"/>
      <c r="G22" s="4"/>
      <c r="H22" s="4"/>
    </row>
    <row r="23" spans="1:11" x14ac:dyDescent="0.25">
      <c r="A23" s="184"/>
      <c r="B23" s="185"/>
      <c r="C23" s="185"/>
      <c r="D23" s="185"/>
      <c r="E23" s="185"/>
      <c r="F23" s="4"/>
      <c r="G23" s="4"/>
      <c r="H23" s="4"/>
    </row>
    <row r="24" spans="1:11" x14ac:dyDescent="0.25">
      <c r="A24" s="4" t="s">
        <v>429</v>
      </c>
      <c r="B24" s="4"/>
      <c r="C24" s="4"/>
      <c r="D24" s="4"/>
      <c r="E24" s="4"/>
      <c r="F24" s="4"/>
      <c r="G24" s="4"/>
      <c r="H24" s="4"/>
    </row>
    <row r="25" spans="1:11" x14ac:dyDescent="0.25">
      <c r="A25" s="4"/>
      <c r="B25" s="4"/>
      <c r="C25" s="4"/>
      <c r="D25" s="4"/>
      <c r="E25" s="4"/>
      <c r="F25" s="4"/>
      <c r="G25" s="4"/>
      <c r="H25" s="4"/>
    </row>
    <row r="26" spans="1:11" x14ac:dyDescent="0.25">
      <c r="A26" s="4"/>
      <c r="B26" s="4"/>
      <c r="C26" s="4"/>
      <c r="D26" s="4"/>
      <c r="E26" s="4"/>
      <c r="F26" s="4"/>
      <c r="G26" s="4"/>
      <c r="H26" s="4"/>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Q19" sqref="Q19"/>
    </sheetView>
  </sheetViews>
  <sheetFormatPr baseColWidth="10" defaultColWidth="9.140625" defaultRowHeight="15" x14ac:dyDescent="0.25"/>
  <cols>
    <col min="1" max="16384" width="9.140625" style="4"/>
  </cols>
  <sheetData>
    <row r="1" spans="1:20" x14ac:dyDescent="0.25">
      <c r="A1" s="4">
        <f>'N fertilizer'!A1</f>
        <v>0</v>
      </c>
      <c r="B1" s="4" t="str">
        <f>'N fertilizer'!B1</f>
        <v>Crop 1</v>
      </c>
      <c r="C1" s="4" t="str">
        <f>'N fertilizer'!C1</f>
        <v>Crop 2</v>
      </c>
      <c r="D1" s="4" t="str">
        <f>'N fertilizer'!D1</f>
        <v>Crop 3</v>
      </c>
    </row>
    <row r="2" spans="1:20" x14ac:dyDescent="0.25">
      <c r="A2" s="4" t="str">
        <f>'N fertilizer'!A2</f>
        <v xml:space="preserve">Without legumes: </v>
      </c>
      <c r="B2" s="4" t="str">
        <f>'N fertilizer'!B2</f>
        <v>Corn</v>
      </c>
      <c r="C2" s="4" t="str">
        <f>'N fertilizer'!C2</f>
        <v>Corn</v>
      </c>
      <c r="D2" s="4" t="str">
        <f>'N fertilizer'!D2</f>
        <v>Corn</v>
      </c>
    </row>
    <row r="3" spans="1:20" x14ac:dyDescent="0.25">
      <c r="A3" s="4" t="str">
        <f>'N fertilizer'!A3</f>
        <v xml:space="preserve">With legumes: </v>
      </c>
      <c r="B3" s="4" t="str">
        <f>'N fertilizer'!B3</f>
        <v>Maize</v>
      </c>
      <c r="C3" s="4" t="str">
        <f>'N fertilizer'!C3</f>
        <v>Soybean</v>
      </c>
      <c r="D3" s="4">
        <f>'N fertilizer'!D3</f>
        <v>0</v>
      </c>
    </row>
    <row r="4" spans="1:20" x14ac:dyDescent="0.25">
      <c r="A4" s="4">
        <f>'N fertilizer'!A4</f>
        <v>0</v>
      </c>
      <c r="B4" s="4">
        <f>'N fertilizer'!B4</f>
        <v>0</v>
      </c>
      <c r="C4" s="4">
        <f>'N fertilizer'!C4</f>
        <v>0</v>
      </c>
      <c r="D4" s="4">
        <f>'N fertilizer'!D4</f>
        <v>0</v>
      </c>
    </row>
    <row r="6" spans="1:20" x14ac:dyDescent="0.25">
      <c r="A6" s="164" t="s">
        <v>289</v>
      </c>
      <c r="B6" s="4" t="s">
        <v>290</v>
      </c>
    </row>
    <row r="7" spans="1:20" x14ac:dyDescent="0.25">
      <c r="B7" s="34" t="str">
        <f>'N fertilizer'!B7</f>
        <v>Corn</v>
      </c>
      <c r="C7" s="34" t="str">
        <f>'N fertilizer'!C7</f>
        <v>Corn</v>
      </c>
      <c r="D7" s="34" t="str">
        <f>'N fertilizer'!D7</f>
        <v>Corn</v>
      </c>
      <c r="E7" s="34"/>
      <c r="F7" s="34"/>
      <c r="G7" s="34"/>
      <c r="I7" s="34" t="str">
        <f>'N fertilizer'!I7</f>
        <v>Maize</v>
      </c>
      <c r="J7" s="34" t="str">
        <f>'N fertilizer'!J7</f>
        <v>Soybean</v>
      </c>
      <c r="K7" s="34"/>
      <c r="L7" s="34"/>
      <c r="M7" s="34"/>
      <c r="N7" s="34"/>
      <c r="P7" s="34"/>
      <c r="Q7" s="34"/>
      <c r="R7" s="34"/>
      <c r="S7" s="34"/>
      <c r="T7" s="34"/>
    </row>
    <row r="8" spans="1:20" x14ac:dyDescent="0.25">
      <c r="A8" s="34"/>
      <c r="B8" s="159">
        <f>VLOOKUP(B7,'Mapping crops'!$A:$B,2,FALSE)</f>
        <v>7</v>
      </c>
      <c r="C8" s="159">
        <f>VLOOKUP(C7,'Mapping crops'!$A:$B,2,FALSE)</f>
        <v>7</v>
      </c>
      <c r="D8" s="159">
        <f>VLOOKUP(D7,'Mapping crops'!$A:$B,2,FALSE)</f>
        <v>7</v>
      </c>
      <c r="E8" s="159"/>
      <c r="F8" s="159"/>
      <c r="G8" s="5"/>
      <c r="H8" s="159"/>
      <c r="I8" s="159">
        <f>VLOOKUP(I7,'Mapping crops'!$A:$B,2,FALSE)</f>
        <v>7</v>
      </c>
      <c r="J8" s="159">
        <f>VLOOKUP(J7,'Mapping crops'!$A:$B,2,FALSE)</f>
        <v>13</v>
      </c>
      <c r="K8" s="159"/>
      <c r="L8" s="159"/>
      <c r="M8" s="159"/>
      <c r="N8" s="159"/>
      <c r="O8" s="159"/>
      <c r="P8" s="159"/>
      <c r="Q8" s="159"/>
      <c r="R8" s="159"/>
      <c r="S8" s="159"/>
      <c r="T8" s="159"/>
    </row>
    <row r="9" spans="1:20" x14ac:dyDescent="0.25">
      <c r="A9" s="134" t="s">
        <v>291</v>
      </c>
      <c r="B9" s="4">
        <f>IF(ISBLANK('N fertilizer'!B10),0,VLOOKUP('N fertilizer'!B10,'N2O default values'!$I:$J,2,FALSE)*'N fertilizer'!B13)</f>
        <v>4.32</v>
      </c>
      <c r="C9" s="4">
        <f>IF(ISBLANK('N fertilizer'!C10),0,VLOOKUP('N fertilizer'!C10,'N2O default values'!$I:$J,2,FALSE)*'N fertilizer'!C13)</f>
        <v>4.32</v>
      </c>
      <c r="D9" s="4">
        <f>IF(ISBLANK('N fertilizer'!D10),0,VLOOKUP('N fertilizer'!D10,'N2O default values'!$I:$J,2,FALSE)*'N fertilizer'!D13)</f>
        <v>4.32</v>
      </c>
      <c r="I9" s="4">
        <f>IF(ISBLANK('N fertilizer'!I10),0,VLOOKUP('N fertilizer'!I10,'N2O default values'!$I:$J,2,FALSE)*'N fertilizer'!I13)</f>
        <v>1.8</v>
      </c>
      <c r="J9" s="4">
        <f>IF(ISBLANK('N fertilizer'!J10),0,VLOOKUP('N fertilizer'!J10,'N2O default values'!$I:$J,2,FALSE)*'N fertilizer'!J13)</f>
        <v>0.11199999999999999</v>
      </c>
    </row>
    <row r="10" spans="1:20" x14ac:dyDescent="0.25">
      <c r="A10" s="134" t="s">
        <v>291</v>
      </c>
      <c r="B10" s="4">
        <f>IF(ISBLANK('N fertilizer'!B15),0,VLOOKUP('N fertilizer'!B15,'N2O default values'!$I:$J,2,FALSE)*'N fertilizer'!B18)</f>
        <v>16.8</v>
      </c>
      <c r="C10" s="4">
        <f>IF(ISBLANK('N fertilizer'!C15),0,VLOOKUP('N fertilizer'!C15,'N2O default values'!$I:$J,2,FALSE)*'N fertilizer'!C18)</f>
        <v>0</v>
      </c>
      <c r="D10" s="4">
        <f>IF(ISBLANK('N fertilizer'!D15),0,VLOOKUP('N fertilizer'!D15,'N2O default values'!$I:$J,2,FALSE)*'N fertilizer'!D18)</f>
        <v>0</v>
      </c>
      <c r="I10" s="4">
        <f>IF(ISBLANK('N fertilizer'!I15),0,VLOOKUP('N fertilizer'!I15,'N2O default values'!$I:$J,2,FALSE)*'N fertilizer'!I18)</f>
        <v>3.5</v>
      </c>
      <c r="J10" s="4">
        <f>IF(ISBLANK('N fertilizer'!J15),0,VLOOKUP('N fertilizer'!J15,'N2O default values'!$I:$J,2,FALSE)*'N fertilizer'!J18)</f>
        <v>0</v>
      </c>
    </row>
    <row r="11" spans="1:20" x14ac:dyDescent="0.25">
      <c r="A11" s="134" t="s">
        <v>291</v>
      </c>
      <c r="B11" s="4">
        <f>IF(ISBLANK('N fertilizer'!B20),0,VLOOKUP('N fertilizer'!B20,'N2O default values'!$I:$J,2,FALSE)*'N fertilizer'!B23)</f>
        <v>27.599999999999998</v>
      </c>
      <c r="C11" s="4">
        <f>IF(ISBLANK('N fertilizer'!C20),0,VLOOKUP('N fertilizer'!C20,'N2O default values'!$I:$J,2,FALSE)*'N fertilizer'!C23)</f>
        <v>27.599999999999998</v>
      </c>
      <c r="D11" s="4">
        <f>IF(ISBLANK('N fertilizer'!D20),0,VLOOKUP('N fertilizer'!D20,'N2O default values'!$I:$J,2,FALSE)*'N fertilizer'!D23)</f>
        <v>27.599999999999998</v>
      </c>
      <c r="I11" s="4">
        <f>IF(ISBLANK('N fertilizer'!I20),0,VLOOKUP('N fertilizer'!I20,'N2O default values'!$I:$J,2,FALSE)*'N fertilizer'!I23)</f>
        <v>20.7</v>
      </c>
      <c r="J11" s="4">
        <f>IF(ISBLANK('N fertilizer'!J20),0,VLOOKUP('N fertilizer'!J20,'N2O default values'!$I:$J,2,FALSE)*'N fertilizer'!J23)</f>
        <v>0</v>
      </c>
    </row>
    <row r="12" spans="1:20" x14ac:dyDescent="0.25">
      <c r="A12" s="134" t="s">
        <v>292</v>
      </c>
      <c r="B12" s="175">
        <v>80.613309090909098</v>
      </c>
      <c r="C12" s="175">
        <v>39.638909090909102</v>
      </c>
      <c r="D12" s="175">
        <v>75.965309090909102</v>
      </c>
      <c r="I12" s="175">
        <v>58.783381818181901</v>
      </c>
      <c r="J12" s="175">
        <v>32.998520689804003</v>
      </c>
    </row>
    <row r="13" spans="1:20" x14ac:dyDescent="0.25">
      <c r="A13" s="134" t="s">
        <v>293</v>
      </c>
    </row>
    <row r="14" spans="1:20" x14ac:dyDescent="0.25">
      <c r="A14" s="134" t="s">
        <v>241</v>
      </c>
      <c r="B14" s="4">
        <f>GM!B$8*VLOOKUP(B8,'N2O default values'!$M:$U,7)</f>
        <v>10.353</v>
      </c>
      <c r="C14" s="4">
        <f>GM!C$8*VLOOKUP(C8,'N2O default values'!$M:$U,7)</f>
        <v>11.31</v>
      </c>
      <c r="D14" s="4">
        <f>GM!D$8*VLOOKUP(D8,'N2O default values'!$M:$U,7)</f>
        <v>9.918000000000001</v>
      </c>
      <c r="I14" s="4">
        <f>GM!I$8*VLOOKUP(I8,'N2O default values'!$M:$U,7)</f>
        <v>11.918999999999999</v>
      </c>
      <c r="J14" s="4">
        <f>GM!J$8*VLOOKUP(J8,'N2O default values'!$M:$U,7)</f>
        <v>3.9266500000000004</v>
      </c>
    </row>
    <row r="15" spans="1:20" x14ac:dyDescent="0.25">
      <c r="A15" s="134" t="s">
        <v>294</v>
      </c>
      <c r="B15" s="4">
        <f>B14*VLOOKUP(B$8,'N2O default values'!$M:$U,5)*VLOOKUP(B$8,'N2O default values'!$M:$U,8)</f>
        <v>10.353</v>
      </c>
      <c r="C15" s="4">
        <f>C14*VLOOKUP(C$8,'N2O default values'!$M:$U,5)*VLOOKUP(C$8,'N2O default values'!$M:$U,8)</f>
        <v>11.31</v>
      </c>
      <c r="D15" s="4">
        <f>D14*VLOOKUP(D$8,'N2O default values'!$M:$U,5)*VLOOKUP(D$8,'N2O default values'!$M:$U,8)</f>
        <v>9.918000000000001</v>
      </c>
      <c r="I15" s="4">
        <f>I14*VLOOKUP(I$8,'N2O default values'!$M:$U,5)*VLOOKUP(I$8,'N2O default values'!$M:$U,8)</f>
        <v>11.918999999999999</v>
      </c>
      <c r="J15" s="4">
        <f>J14*VLOOKUP(J$8,'N2O default values'!$M:$U,5)*VLOOKUP(J$8,'N2O default values'!$M:$U,8)</f>
        <v>8.2459650000000018</v>
      </c>
    </row>
    <row r="16" spans="1:20" x14ac:dyDescent="0.25">
      <c r="A16" s="134" t="s">
        <v>295</v>
      </c>
      <c r="B16" s="4">
        <f>SUM(B14:B15)*VLOOKUP(B$8,'N2O default values'!$M:$U,6)</f>
        <v>4.55532</v>
      </c>
      <c r="C16" s="4">
        <f>SUM(C14:C15)*VLOOKUP(C$8,'N2O default values'!$M:$U,6)</f>
        <v>4.9763999999999999</v>
      </c>
      <c r="D16" s="4">
        <f>SUM(D14:D15)*VLOOKUP(D$8,'N2O default values'!$M:$U,6)</f>
        <v>4.3639200000000002</v>
      </c>
      <c r="I16" s="4">
        <f>SUM(I14:I15)*VLOOKUP(I$8,'N2O default values'!$M:$U,6)</f>
        <v>5.2443599999999995</v>
      </c>
      <c r="J16" s="4">
        <f>SUM(J14:J15)*VLOOKUP(J$8,'N2O default values'!$M:$U,6)</f>
        <v>2.3127968500000002</v>
      </c>
    </row>
    <row r="17" spans="1:20" x14ac:dyDescent="0.25">
      <c r="A17" s="134" t="s">
        <v>296</v>
      </c>
      <c r="B17" s="4">
        <f>(B15-GM!B11*VLOOKUP('N2O calculations'!B$8,'N2O default values'!$M:$U,9))*VLOOKUP('N2O calculations'!B$8,'N2O default values'!$M:$U,3)*1000</f>
        <v>62.118000000000002</v>
      </c>
      <c r="C17" s="4">
        <f>(C15-GM!C11*VLOOKUP('N2O calculations'!C$8,'N2O default values'!$M:$U,9))*VLOOKUP('N2O calculations'!C$8,'N2O default values'!$M:$U,3)*1000</f>
        <v>67.86</v>
      </c>
      <c r="D17" s="4">
        <f>(D15-GM!D11*VLOOKUP('N2O calculations'!D$8,'N2O default values'!$M:$U,9))*VLOOKUP('N2O calculations'!D$8,'N2O default values'!$M:$U,3)*1000</f>
        <v>59.508000000000003</v>
      </c>
      <c r="I17" s="4">
        <f>(I15-GM!I11*VLOOKUP('N2O calculations'!I$8,'N2O default values'!$M:$U,9))*VLOOKUP('N2O calculations'!I$8,'N2O default values'!$M:$U,3)*1000</f>
        <v>71.513999999999996</v>
      </c>
      <c r="J17" s="4">
        <f>(J15-GM!J11*VLOOKUP('N2O calculations'!J$8,'N2O default values'!$M:$U,9))*VLOOKUP('N2O calculations'!J$8,'N2O default values'!$M:$U,3)*1000</f>
        <v>65.967720000000028</v>
      </c>
    </row>
    <row r="18" spans="1:20" x14ac:dyDescent="0.25">
      <c r="A18" s="134" t="s">
        <v>297</v>
      </c>
      <c r="B18" s="4">
        <f>B16*VLOOKUP(B$8,'N2O default values'!$M:$U,4)*1000</f>
        <v>31.887240000000006</v>
      </c>
      <c r="C18" s="4">
        <f>C16*VLOOKUP(C$8,'N2O default values'!$M:$U,4)*1000</f>
        <v>34.834800000000001</v>
      </c>
      <c r="D18" s="4">
        <f>D16*VLOOKUP(D$8,'N2O default values'!$M:$U,4)*1000</f>
        <v>30.547440000000002</v>
      </c>
      <c r="I18" s="4">
        <f>I16*VLOOKUP(I$8,'N2O default values'!$M:$U,4)*1000</f>
        <v>36.710519999999995</v>
      </c>
      <c r="J18" s="4">
        <f>J16*VLOOKUP(J$8,'N2O default values'!$M:$U,4)*1000</f>
        <v>18.502374800000002</v>
      </c>
    </row>
    <row r="19" spans="1:20" x14ac:dyDescent="0.25">
      <c r="A19" s="134" t="s">
        <v>298</v>
      </c>
      <c r="B19" s="4">
        <f>SUM(B17:B18)</f>
        <v>94.005240000000015</v>
      </c>
      <c r="C19" s="4">
        <f t="shared" ref="C19:D19" si="0">SUM(C17:C18)</f>
        <v>102.6948</v>
      </c>
      <c r="D19" s="4">
        <f t="shared" si="0"/>
        <v>90.055440000000004</v>
      </c>
      <c r="I19" s="4">
        <f>SUM(I17:I18)</f>
        <v>108.22451999999998</v>
      </c>
      <c r="J19" s="4">
        <f t="shared" ref="J19" si="1">SUM(J17:J18)</f>
        <v>84.470094800000027</v>
      </c>
    </row>
    <row r="20" spans="1:20" x14ac:dyDescent="0.25">
      <c r="A20" s="134"/>
    </row>
    <row r="23" spans="1:20" x14ac:dyDescent="0.25">
      <c r="A23" s="4" t="s">
        <v>299</v>
      </c>
    </row>
    <row r="24" spans="1:20" x14ac:dyDescent="0.25">
      <c r="B24" s="34" t="str">
        <f>B7</f>
        <v>Corn</v>
      </c>
      <c r="C24" s="34" t="str">
        <f t="shared" ref="C24:D24" si="2">C7</f>
        <v>Corn</v>
      </c>
      <c r="D24" s="34" t="str">
        <f t="shared" si="2"/>
        <v>Corn</v>
      </c>
      <c r="E24" s="34"/>
      <c r="F24" s="34"/>
      <c r="G24" s="34"/>
      <c r="I24" s="34" t="str">
        <f>I7</f>
        <v>Maize</v>
      </c>
      <c r="J24" s="34" t="str">
        <f t="shared" ref="J24" si="3">J7</f>
        <v>Soybean</v>
      </c>
      <c r="K24" s="34"/>
      <c r="L24" s="34"/>
      <c r="M24" s="34"/>
      <c r="N24" s="34"/>
      <c r="P24" s="34"/>
      <c r="Q24" s="34"/>
      <c r="R24" s="34"/>
      <c r="S24" s="34"/>
      <c r="T24" s="34"/>
    </row>
    <row r="25" spans="1:20" x14ac:dyDescent="0.25">
      <c r="A25" s="134" t="s">
        <v>300</v>
      </c>
      <c r="B25" s="4">
        <f>IF('N fertilizer'!B10 &lt;&gt;'N2O default values'!$I$30, 'N fertilizer'!B13*'N2O default values'!$E$2, 'N fertilizer'!B13* 'N2O default values'!$E$3)+IF('N fertilizer'!B15 &lt;&gt;'N2O default values'!$I$30, 'N fertilizer'!B18*'N2O default values'!$E$2, 'N fertilizer'!B18* 'N2O default values'!$E$3)+IF('N fertilizer'!B20 &lt;&gt;'N2O default values'!$I$30, 'N fertilizer'!B23*'N2O default values'!$E$2, 'N fertilizer'!B23* 'N2O default values'!$E$3)</f>
        <v>4.2880000000000003</v>
      </c>
      <c r="C25" s="4">
        <f>IF('N fertilizer'!C10 &lt;&gt;'N2O default values'!$I$30, 'N fertilizer'!C13*'N2O default values'!$E$2, 'N fertilizer'!C13* 'N2O default values'!$E$3)+IF('N fertilizer'!C15 &lt;&gt;'N2O default values'!$I$30, 'N fertilizer'!C18*'N2O default values'!$E$2, 'N fertilizer'!C18* 'N2O default values'!$E$3)+IF('N fertilizer'!C20 &lt;&gt;'N2O default values'!$I$30, 'N fertilizer'!C23*'N2O default values'!$E$2, 'N fertilizer'!C23* 'N2O default values'!$E$3)</f>
        <v>3.8079999999999998</v>
      </c>
      <c r="D25" s="4">
        <f>IF('N fertilizer'!D10 &lt;&gt;'N2O default values'!$I$30, 'N fertilizer'!D13*'N2O default values'!$E$2, 'N fertilizer'!D13* 'N2O default values'!$E$3)+IF('N fertilizer'!D15 &lt;&gt;'N2O default values'!$I$30, 'N fertilizer'!D18*'N2O default values'!$E$2, 'N fertilizer'!D18* 'N2O default values'!$E$3)+IF('N fertilizer'!D20 &lt;&gt;'N2O default values'!$I$30, 'N fertilizer'!D23*'N2O default values'!$E$2, 'N fertilizer'!D23* 'N2O default values'!$E$3)</f>
        <v>3.8079999999999998</v>
      </c>
      <c r="I25" s="4">
        <f>IF('N fertilizer'!I10 &lt;&gt;'N2O default values'!$I$30, 'N fertilizer'!I13*'N2O default values'!$E$2, 'N fertilizer'!I13* 'N2O default values'!$E$3)+IF('N fertilizer'!I15 &lt;&gt;'N2O default values'!$I$30, 'N fertilizer'!I18*'N2O default values'!$E$2, 'N fertilizer'!I18* 'N2O default values'!$E$3)+IF('N fertilizer'!I20 &lt;&gt;'N2O default values'!$I$30, 'N fertilizer'!I23*'N2O default values'!$E$2, 'N fertilizer'!I23* 'N2O default values'!$E$3)</f>
        <v>3.9040000000000004</v>
      </c>
      <c r="J25" s="4">
        <f>IF('N fertilizer'!J10 &lt;&gt;'N2O default values'!$I$30, 'N fertilizer'!J13*'N2O default values'!$E$2, 'N fertilizer'!J13* 'N2O default values'!$E$3)+IF('N fertilizer'!J15 &lt;&gt;'N2O default values'!$I$30, 'N fertilizer'!J18*'N2O default values'!$E$2, 'N fertilizer'!J18* 'N2O default values'!$E$3)+IF('N fertilizer'!J20 &lt;&gt;'N2O default values'!$I$30, 'N fertilizer'!J23*'N2O default values'!$E$2, 'N fertilizer'!J23* 'N2O default values'!$E$3)</f>
        <v>2.24E-2</v>
      </c>
    </row>
    <row r="26" spans="1:20" x14ac:dyDescent="0.25">
      <c r="A26" s="4" t="s">
        <v>301</v>
      </c>
      <c r="B26" s="4">
        <f>(SUM(B9:B11)*'N2O default values'!$E$4)</f>
        <v>0.68208000000000002</v>
      </c>
      <c r="C26" s="4">
        <f>(SUM(C9:C11)*'N2O default values'!$E$4)</f>
        <v>0.44688</v>
      </c>
      <c r="D26" s="4">
        <f>(SUM(D9:D11)*'N2O default values'!$E$4)</f>
        <v>0.44688</v>
      </c>
      <c r="I26" s="4">
        <f>(SUM(I9:I11)*'N2O default values'!$E$4)</f>
        <v>0.36399999999999999</v>
      </c>
      <c r="J26" s="4">
        <f>(SUM(J9:J11)*'N2O default values'!$E$4)</f>
        <v>1.5679999999999999E-3</v>
      </c>
    </row>
    <row r="27" spans="1:20" x14ac:dyDescent="0.25">
      <c r="A27" s="4" t="s">
        <v>292</v>
      </c>
      <c r="B27" s="4">
        <f>B12*'N2O default values'!$E$5</f>
        <v>0.88674640000000005</v>
      </c>
      <c r="C27" s="4">
        <f>C12*'N2O default values'!$E$5</f>
        <v>0.43602800000000008</v>
      </c>
      <c r="D27" s="4">
        <f>D12*'N2O default values'!$E$5</f>
        <v>0.83561840000000009</v>
      </c>
      <c r="I27" s="4">
        <f>I12*'N2O default values'!$E$5</f>
        <v>0.64661720000000089</v>
      </c>
      <c r="J27" s="4">
        <f>J12*'N2O default values'!$E$5</f>
        <v>0.36298372758784403</v>
      </c>
    </row>
    <row r="28" spans="1:20" x14ac:dyDescent="0.25">
      <c r="A28" s="4" t="s">
        <v>302</v>
      </c>
      <c r="B28" s="4">
        <f>B19*'N2O default values'!$E$3</f>
        <v>0.56403144000000005</v>
      </c>
      <c r="C28" s="4">
        <f>C19*'N2O default values'!$E$3</f>
        <v>0.61616880000000007</v>
      </c>
      <c r="D28" s="4">
        <f>D19*'N2O default values'!$E$3</f>
        <v>0.54033264000000003</v>
      </c>
      <c r="I28" s="4">
        <f>I19*'N2O default values'!$E$3</f>
        <v>0.64934711999999994</v>
      </c>
      <c r="J28" s="4">
        <f>J19*'N2O default values'!$E$3</f>
        <v>0.50682056880000015</v>
      </c>
    </row>
    <row r="30" spans="1:20" x14ac:dyDescent="0.25">
      <c r="A30" s="4" t="s">
        <v>303</v>
      </c>
    </row>
    <row r="31" spans="1:20" x14ac:dyDescent="0.25">
      <c r="A31" s="4">
        <f>SUM(B31:F31)</f>
        <v>27.278060354285714</v>
      </c>
      <c r="B31" s="4">
        <f>SUM(B25:B28)*'N2O default values'!$G$2</f>
        <v>10.089919462857143</v>
      </c>
      <c r="C31" s="4">
        <f>SUM(C25:C28)*'N2O default values'!$G$2</f>
        <v>8.3396921142857146</v>
      </c>
      <c r="D31" s="4">
        <f>SUM(D25:D28)*'N2O default values'!$G$2</f>
        <v>8.8484487771428579</v>
      </c>
      <c r="H31" s="4">
        <f>SUM(I31:M31)</f>
        <v>10.147871825752329</v>
      </c>
      <c r="I31" s="4">
        <f>SUM(I25:I28)*'N2O default values'!$G$2</f>
        <v>8.7433725028571452</v>
      </c>
      <c r="J31" s="4">
        <f>SUM(J25:J28)*'N2O default values'!$G$2</f>
        <v>1.4044993228951836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'N2O default values'!$C$1:$D$1</xm:f>
          </x14:formula1>
          <xm:sqref>B6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opLeftCell="A7" workbookViewId="0">
      <selection activeCell="K30" sqref="K30"/>
    </sheetView>
  </sheetViews>
  <sheetFormatPr baseColWidth="10" defaultColWidth="9.140625" defaultRowHeight="15" x14ac:dyDescent="0.25"/>
  <cols>
    <col min="1" max="1" width="9.140625" style="4"/>
    <col min="2" max="2" width="17.7109375" style="4" bestFit="1" customWidth="1"/>
    <col min="3" max="8" width="9.140625" style="4"/>
    <col min="9" max="9" width="23.140625" style="4" bestFit="1" customWidth="1"/>
    <col min="10" max="10" width="9.140625" style="4"/>
    <col min="11" max="11" width="41.7109375" style="4" customWidth="1"/>
    <col min="12" max="12" width="7" style="4" customWidth="1"/>
    <col min="13" max="13" width="14.140625" style="4" bestFit="1" customWidth="1"/>
    <col min="14" max="14" width="41.85546875" style="4" customWidth="1"/>
    <col min="15" max="19" width="30.7109375" style="4" customWidth="1"/>
    <col min="20" max="16384" width="9.140625" style="4"/>
  </cols>
  <sheetData>
    <row r="1" spans="1:21" ht="45" x14ac:dyDescent="0.25">
      <c r="A1" s="4">
        <v>1</v>
      </c>
      <c r="C1" s="4" t="s">
        <v>290</v>
      </c>
      <c r="D1" s="4" t="s">
        <v>304</v>
      </c>
      <c r="G1" s="4" t="s">
        <v>305</v>
      </c>
      <c r="I1" s="4" t="s">
        <v>306</v>
      </c>
      <c r="K1" s="5"/>
      <c r="M1" s="4" t="s">
        <v>307</v>
      </c>
      <c r="N1" s="4" t="s">
        <v>267</v>
      </c>
      <c r="O1" s="38" t="s">
        <v>308</v>
      </c>
      <c r="P1" s="38" t="s">
        <v>309</v>
      </c>
      <c r="Q1" s="38" t="s">
        <v>310</v>
      </c>
      <c r="R1" s="38" t="s">
        <v>311</v>
      </c>
      <c r="S1" s="38" t="s">
        <v>268</v>
      </c>
      <c r="T1" s="38" t="s">
        <v>312</v>
      </c>
      <c r="U1" s="38" t="s">
        <v>313</v>
      </c>
    </row>
    <row r="2" spans="1:21" x14ac:dyDescent="0.25">
      <c r="A2" s="4">
        <v>2</v>
      </c>
      <c r="B2" s="4" t="s">
        <v>314</v>
      </c>
      <c r="C2" s="4">
        <v>1.6E-2</v>
      </c>
      <c r="D2" s="4">
        <v>5.0000000000000001E-3</v>
      </c>
      <c r="E2" s="4">
        <f>HLOOKUP('N2O calculations'!$B$6,$B$1:$D$10,A2)</f>
        <v>1.6E-2</v>
      </c>
      <c r="G2" s="4">
        <f>44/28</f>
        <v>1.5714285714285714</v>
      </c>
      <c r="I2" s="182" t="s">
        <v>124</v>
      </c>
      <c r="J2" s="182">
        <v>0.15</v>
      </c>
      <c r="K2" s="165" t="s">
        <v>315</v>
      </c>
      <c r="L2" s="166">
        <v>0.15</v>
      </c>
      <c r="M2" s="4">
        <v>1</v>
      </c>
      <c r="N2" s="38" t="s">
        <v>269</v>
      </c>
      <c r="O2" s="38">
        <v>8.0000000000000002E-3</v>
      </c>
      <c r="P2" s="38">
        <v>8.9999999999999993E-3</v>
      </c>
      <c r="Q2" s="38">
        <v>1</v>
      </c>
      <c r="R2" s="38">
        <v>0.22</v>
      </c>
      <c r="S2" s="38">
        <v>0.85</v>
      </c>
      <c r="T2" s="38">
        <v>1</v>
      </c>
      <c r="U2" s="4">
        <f>S2</f>
        <v>0.85</v>
      </c>
    </row>
    <row r="3" spans="1:21" x14ac:dyDescent="0.25">
      <c r="A3" s="4">
        <v>3</v>
      </c>
      <c r="B3" s="4" t="s">
        <v>316</v>
      </c>
      <c r="C3" s="4">
        <v>6.0000000000000001E-3</v>
      </c>
      <c r="D3" s="4">
        <v>5.0000000000000001E-3</v>
      </c>
      <c r="E3" s="4">
        <f>HLOOKUP('N2O calculations'!$B$6,$B$1:$D$10,A3)</f>
        <v>6.0000000000000001E-3</v>
      </c>
      <c r="I3" s="4" t="s">
        <v>317</v>
      </c>
      <c r="J3" s="4">
        <v>0.08</v>
      </c>
      <c r="K3" s="167" t="s">
        <v>318</v>
      </c>
      <c r="L3" s="166">
        <v>0.08</v>
      </c>
      <c r="M3" s="4">
        <v>2</v>
      </c>
      <c r="N3" s="4" t="s">
        <v>270</v>
      </c>
      <c r="O3" s="4">
        <v>6.0000000000000001E-3</v>
      </c>
      <c r="P3" s="4">
        <v>8.9999999999999993E-3</v>
      </c>
      <c r="Q3" s="4">
        <v>1.3</v>
      </c>
      <c r="R3" s="4">
        <v>0.22</v>
      </c>
      <c r="S3" s="4">
        <v>0.88</v>
      </c>
      <c r="T3" s="38">
        <v>1</v>
      </c>
      <c r="U3" s="4">
        <f t="shared" ref="U3:U22" si="0">S3</f>
        <v>0.88</v>
      </c>
    </row>
    <row r="4" spans="1:21" x14ac:dyDescent="0.25">
      <c r="A4" s="4">
        <v>4</v>
      </c>
      <c r="B4" s="4" t="s">
        <v>319</v>
      </c>
      <c r="C4" s="4">
        <v>1.4E-2</v>
      </c>
      <c r="D4" s="4">
        <v>5.0000000000000001E-3</v>
      </c>
      <c r="E4" s="4">
        <f>HLOOKUP('N2O calculations'!$B$6,$B$1:$D$10,A4)</f>
        <v>1.4E-2</v>
      </c>
      <c r="I4" s="4" t="s">
        <v>320</v>
      </c>
      <c r="J4" s="4">
        <v>0.01</v>
      </c>
      <c r="K4" s="167" t="s">
        <v>321</v>
      </c>
      <c r="L4" s="166">
        <v>0.01</v>
      </c>
      <c r="M4" s="4">
        <v>3</v>
      </c>
      <c r="N4" s="4" t="s">
        <v>271</v>
      </c>
      <c r="O4" s="4">
        <v>6.0000000000000001E-3</v>
      </c>
      <c r="P4" s="4">
        <v>8.9999999999999993E-3</v>
      </c>
      <c r="Q4" s="4">
        <v>1.3</v>
      </c>
      <c r="R4" s="4">
        <v>0.23</v>
      </c>
      <c r="S4" s="4">
        <v>0.89</v>
      </c>
      <c r="T4" s="38">
        <v>1</v>
      </c>
      <c r="U4" s="4">
        <f t="shared" si="0"/>
        <v>0.89</v>
      </c>
    </row>
    <row r="5" spans="1:21" x14ac:dyDescent="0.25">
      <c r="A5" s="4">
        <v>5</v>
      </c>
      <c r="B5" s="4" t="s">
        <v>292</v>
      </c>
      <c r="E5" s="4">
        <v>1.0999999999999999E-2</v>
      </c>
      <c r="I5" s="4" t="s">
        <v>322</v>
      </c>
      <c r="J5" s="4">
        <v>0.05</v>
      </c>
      <c r="K5" s="168" t="s">
        <v>323</v>
      </c>
      <c r="L5" s="168">
        <v>0.05</v>
      </c>
      <c r="M5" s="4">
        <v>4</v>
      </c>
      <c r="N5" s="4" t="s">
        <v>272</v>
      </c>
      <c r="O5" s="4">
        <v>6.0000000000000001E-3</v>
      </c>
      <c r="P5" s="4">
        <v>8.9999999999999993E-3</v>
      </c>
      <c r="Q5" s="4">
        <v>1.3</v>
      </c>
      <c r="R5" s="4">
        <v>0.28000000000000003</v>
      </c>
      <c r="S5" s="4">
        <v>0.89</v>
      </c>
      <c r="T5" s="38">
        <v>1</v>
      </c>
      <c r="U5" s="4">
        <f t="shared" si="0"/>
        <v>0.89</v>
      </c>
    </row>
    <row r="6" spans="1:21" x14ac:dyDescent="0.25">
      <c r="A6" s="4">
        <v>6</v>
      </c>
      <c r="I6" s="4" t="s">
        <v>324</v>
      </c>
      <c r="J6" s="4">
        <v>0.05</v>
      </c>
      <c r="K6" s="168" t="s">
        <v>325</v>
      </c>
      <c r="L6" s="168">
        <v>0.11</v>
      </c>
      <c r="M6" s="4">
        <v>5</v>
      </c>
      <c r="N6" s="4" t="s">
        <v>273</v>
      </c>
      <c r="O6" s="4">
        <v>7.0000000000000001E-3</v>
      </c>
      <c r="P6" s="4">
        <v>1.4E-2</v>
      </c>
      <c r="Q6" s="4">
        <v>1.2</v>
      </c>
      <c r="R6" s="4">
        <v>0.22</v>
      </c>
      <c r="S6" s="4">
        <v>0.89</v>
      </c>
      <c r="T6" s="38">
        <v>1</v>
      </c>
      <c r="U6" s="4">
        <f t="shared" si="0"/>
        <v>0.89</v>
      </c>
    </row>
    <row r="7" spans="1:21" x14ac:dyDescent="0.25">
      <c r="A7" s="4">
        <v>7</v>
      </c>
      <c r="I7" s="4" t="s">
        <v>326</v>
      </c>
      <c r="J7" s="4">
        <v>0.21199999999999999</v>
      </c>
      <c r="M7" s="4">
        <v>6</v>
      </c>
      <c r="N7" s="4" t="s">
        <v>274</v>
      </c>
      <c r="O7" s="4">
        <v>7.0000000000000001E-3</v>
      </c>
      <c r="P7" s="4">
        <v>8.0000000000000002E-3</v>
      </c>
      <c r="Q7" s="4">
        <v>1.3</v>
      </c>
      <c r="R7" s="4">
        <v>0.25</v>
      </c>
      <c r="S7" s="4">
        <v>0.89</v>
      </c>
      <c r="T7" s="38">
        <v>1</v>
      </c>
      <c r="U7" s="4">
        <f t="shared" si="0"/>
        <v>0.89</v>
      </c>
    </row>
    <row r="8" spans="1:21" x14ac:dyDescent="0.25">
      <c r="A8" s="4">
        <v>8</v>
      </c>
      <c r="I8" s="4" t="s">
        <v>327</v>
      </c>
      <c r="J8" s="4">
        <v>0.05</v>
      </c>
      <c r="M8" s="4">
        <v>7</v>
      </c>
      <c r="N8" s="4" t="s">
        <v>235</v>
      </c>
      <c r="O8" s="4">
        <v>6.0000000000000001E-3</v>
      </c>
      <c r="P8" s="4">
        <v>7.0000000000000001E-3</v>
      </c>
      <c r="Q8" s="4">
        <v>1</v>
      </c>
      <c r="R8" s="4">
        <v>0.22</v>
      </c>
      <c r="S8" s="4">
        <v>0.87</v>
      </c>
      <c r="T8" s="38">
        <v>1</v>
      </c>
      <c r="U8" s="4">
        <f t="shared" si="0"/>
        <v>0.87</v>
      </c>
    </row>
    <row r="9" spans="1:21" x14ac:dyDescent="0.25">
      <c r="A9" s="4">
        <v>9</v>
      </c>
      <c r="I9" s="4" t="s">
        <v>328</v>
      </c>
      <c r="J9" s="4">
        <v>0.05</v>
      </c>
      <c r="M9" s="4">
        <v>8</v>
      </c>
      <c r="N9" s="4" t="s">
        <v>275</v>
      </c>
      <c r="O9" s="4">
        <v>5.0000000000000001E-3</v>
      </c>
      <c r="P9" s="4">
        <v>1.0999999999999999E-2</v>
      </c>
      <c r="Q9" s="4">
        <v>1.6</v>
      </c>
      <c r="R9" s="169">
        <f>R2</f>
        <v>0.22</v>
      </c>
      <c r="S9" s="4">
        <v>0.88</v>
      </c>
      <c r="T9" s="38">
        <v>1</v>
      </c>
      <c r="U9" s="4">
        <f t="shared" si="0"/>
        <v>0.88</v>
      </c>
    </row>
    <row r="10" spans="1:21" x14ac:dyDescent="0.25">
      <c r="A10" s="4">
        <v>10</v>
      </c>
      <c r="I10" s="4" t="s">
        <v>329</v>
      </c>
      <c r="J10" s="4">
        <v>0.05</v>
      </c>
      <c r="M10" s="4">
        <v>9</v>
      </c>
      <c r="N10" s="4" t="s">
        <v>276</v>
      </c>
      <c r="O10" s="4">
        <v>7.0000000000000001E-3</v>
      </c>
      <c r="P10" s="169">
        <f>P2</f>
        <v>8.9999999999999993E-3</v>
      </c>
      <c r="Q10" s="4">
        <v>1.4</v>
      </c>
      <c r="R10" s="4">
        <v>0.16</v>
      </c>
      <c r="S10" s="4">
        <v>0.89</v>
      </c>
      <c r="T10" s="38">
        <v>1</v>
      </c>
      <c r="U10" s="4">
        <f t="shared" si="0"/>
        <v>0.89</v>
      </c>
    </row>
    <row r="11" spans="1:21" x14ac:dyDescent="0.25">
      <c r="I11" s="4" t="s">
        <v>330</v>
      </c>
      <c r="J11" s="134">
        <v>0.11</v>
      </c>
      <c r="M11" s="4">
        <v>10</v>
      </c>
      <c r="N11" s="4" t="s">
        <v>277</v>
      </c>
      <c r="O11" s="4">
        <v>7.0000000000000001E-3</v>
      </c>
      <c r="P11" s="169">
        <f>P2</f>
        <v>8.9999999999999993E-3</v>
      </c>
      <c r="Q11" s="4">
        <v>1.4</v>
      </c>
      <c r="R11" s="169">
        <f>R2</f>
        <v>0.22</v>
      </c>
      <c r="S11" s="152">
        <v>0.9</v>
      </c>
      <c r="T11" s="38">
        <v>1</v>
      </c>
      <c r="U11" s="4">
        <f t="shared" si="0"/>
        <v>0.9</v>
      </c>
    </row>
    <row r="12" spans="1:21" x14ac:dyDescent="0.25">
      <c r="I12" s="4" t="s">
        <v>331</v>
      </c>
      <c r="J12" s="134">
        <v>0.08</v>
      </c>
      <c r="M12" s="4">
        <v>11</v>
      </c>
      <c r="N12" s="4" t="s">
        <v>278</v>
      </c>
      <c r="O12" s="4">
        <v>7.0000000000000001E-3</v>
      </c>
      <c r="P12" s="4">
        <v>6.0000000000000001E-3</v>
      </c>
      <c r="Q12" s="4">
        <v>1.4</v>
      </c>
      <c r="R12" s="169">
        <f>R2</f>
        <v>0.22</v>
      </c>
      <c r="S12" s="4">
        <v>0.89</v>
      </c>
      <c r="T12" s="38">
        <v>1</v>
      </c>
      <c r="U12" s="4">
        <f t="shared" si="0"/>
        <v>0.89</v>
      </c>
    </row>
    <row r="13" spans="1:21" x14ac:dyDescent="0.25">
      <c r="I13" s="4" t="s">
        <v>332</v>
      </c>
      <c r="J13" s="4">
        <v>0.11</v>
      </c>
      <c r="M13" s="4">
        <v>12</v>
      </c>
      <c r="N13" s="4" t="s">
        <v>279</v>
      </c>
      <c r="O13" s="4">
        <v>8.0000000000000002E-3</v>
      </c>
      <c r="P13" s="4">
        <v>8.0000000000000002E-3</v>
      </c>
      <c r="Q13" s="4">
        <v>2.1</v>
      </c>
      <c r="R13" s="4">
        <v>0.19</v>
      </c>
      <c r="S13" s="4">
        <v>0.91</v>
      </c>
      <c r="T13" s="38">
        <v>1</v>
      </c>
      <c r="U13" s="4">
        <f t="shared" si="0"/>
        <v>0.91</v>
      </c>
    </row>
    <row r="14" spans="1:21" x14ac:dyDescent="0.25">
      <c r="I14" s="4" t="s">
        <v>333</v>
      </c>
      <c r="J14" s="4">
        <v>0.05</v>
      </c>
      <c r="M14" s="4">
        <v>13</v>
      </c>
      <c r="N14" s="4" t="s">
        <v>280</v>
      </c>
      <c r="O14" s="4">
        <v>8.0000000000000002E-3</v>
      </c>
      <c r="P14" s="4">
        <v>8.0000000000000002E-3</v>
      </c>
      <c r="Q14" s="4">
        <v>2.1</v>
      </c>
      <c r="R14" s="4">
        <v>0.19</v>
      </c>
      <c r="S14" s="4">
        <v>0.91</v>
      </c>
      <c r="T14" s="38">
        <v>1</v>
      </c>
      <c r="U14" s="4">
        <f t="shared" si="0"/>
        <v>0.91</v>
      </c>
    </row>
    <row r="15" spans="1:21" x14ac:dyDescent="0.25">
      <c r="I15" s="4" t="s">
        <v>334</v>
      </c>
      <c r="J15" s="4">
        <v>0.15</v>
      </c>
      <c r="M15" s="4">
        <v>14</v>
      </c>
      <c r="N15" s="4" t="s">
        <v>281</v>
      </c>
      <c r="O15" s="4">
        <v>1.9E-2</v>
      </c>
      <c r="P15" s="4">
        <v>1.4E-2</v>
      </c>
      <c r="Q15" s="4">
        <v>0.4</v>
      </c>
      <c r="R15" s="4">
        <v>0.2</v>
      </c>
      <c r="S15" s="4">
        <v>0.22</v>
      </c>
      <c r="T15" s="38">
        <v>1</v>
      </c>
      <c r="U15" s="4">
        <f t="shared" si="0"/>
        <v>0.22</v>
      </c>
    </row>
    <row r="16" spans="1:21" x14ac:dyDescent="0.25">
      <c r="I16" s="4" t="s">
        <v>335</v>
      </c>
      <c r="J16" s="4">
        <v>0.11</v>
      </c>
      <c r="M16" s="4">
        <v>15</v>
      </c>
      <c r="N16" s="4" t="s">
        <v>282</v>
      </c>
      <c r="O16" s="4">
        <v>1.6E-2</v>
      </c>
      <c r="P16" s="169">
        <f>P2</f>
        <v>8.9999999999999993E-3</v>
      </c>
      <c r="Q16" s="4">
        <v>1</v>
      </c>
      <c r="R16" s="169">
        <f>R2</f>
        <v>0.22</v>
      </c>
      <c r="S16" s="4">
        <v>0.94</v>
      </c>
      <c r="T16" s="38">
        <v>1</v>
      </c>
      <c r="U16" s="4">
        <f t="shared" si="0"/>
        <v>0.94</v>
      </c>
    </row>
    <row r="17" spans="9:21" x14ac:dyDescent="0.25">
      <c r="I17" s="4" t="s">
        <v>336</v>
      </c>
      <c r="J17" s="4">
        <v>0.08</v>
      </c>
      <c r="M17" s="4">
        <v>16</v>
      </c>
      <c r="N17" s="4" t="s">
        <v>283</v>
      </c>
      <c r="O17" s="4">
        <v>2.7E-2</v>
      </c>
      <c r="P17" s="4">
        <v>1.9E-2</v>
      </c>
      <c r="Q17" s="169">
        <f>Q$2</f>
        <v>1</v>
      </c>
      <c r="R17" s="4">
        <v>0.4</v>
      </c>
      <c r="S17" s="4">
        <v>0.9</v>
      </c>
      <c r="T17" s="38">
        <v>1</v>
      </c>
      <c r="U17" s="4">
        <f t="shared" si="0"/>
        <v>0.9</v>
      </c>
    </row>
    <row r="18" spans="9:21" x14ac:dyDescent="0.25">
      <c r="I18" s="4" t="s">
        <v>337</v>
      </c>
      <c r="J18" s="4">
        <v>0.11</v>
      </c>
      <c r="M18" s="4">
        <v>17</v>
      </c>
      <c r="N18" s="4" t="s">
        <v>284</v>
      </c>
      <c r="O18" s="4">
        <v>1.4999999999999999E-2</v>
      </c>
      <c r="P18" s="4">
        <v>1.2E-2</v>
      </c>
      <c r="Q18" s="169">
        <f>Q$2</f>
        <v>1</v>
      </c>
      <c r="R18" s="4">
        <v>0.54</v>
      </c>
      <c r="S18" s="4">
        <v>0.9</v>
      </c>
      <c r="T18" s="38"/>
      <c r="U18" s="4">
        <f t="shared" si="0"/>
        <v>0.9</v>
      </c>
    </row>
    <row r="19" spans="9:21" x14ac:dyDescent="0.25">
      <c r="I19" s="4" t="s">
        <v>338</v>
      </c>
      <c r="J19" s="4">
        <v>0.05</v>
      </c>
      <c r="M19" s="4">
        <v>18</v>
      </c>
      <c r="N19" s="4" t="s">
        <v>285</v>
      </c>
      <c r="O19" s="4">
        <v>2.7E-2</v>
      </c>
      <c r="P19" s="4">
        <v>2.1999999999999999E-2</v>
      </c>
      <c r="Q19" s="4">
        <v>0.3</v>
      </c>
      <c r="R19" s="4">
        <v>0.4</v>
      </c>
      <c r="S19" s="4">
        <v>0.9</v>
      </c>
      <c r="T19" s="38"/>
      <c r="U19" s="4">
        <f t="shared" si="0"/>
        <v>0.9</v>
      </c>
    </row>
    <row r="20" spans="9:21" x14ac:dyDescent="0.25">
      <c r="I20" s="4" t="s">
        <v>339</v>
      </c>
      <c r="J20" s="4">
        <v>0.08</v>
      </c>
      <c r="M20" s="4">
        <v>19</v>
      </c>
      <c r="N20" s="4" t="s">
        <v>286</v>
      </c>
      <c r="O20" s="4">
        <v>1.4999999999999999E-2</v>
      </c>
      <c r="P20" s="4">
        <v>1.2E-2</v>
      </c>
      <c r="Q20" s="4">
        <v>0.3</v>
      </c>
      <c r="R20" s="4">
        <v>0.54</v>
      </c>
      <c r="S20" s="4">
        <v>0.9</v>
      </c>
      <c r="T20" s="38"/>
      <c r="U20" s="4">
        <f t="shared" si="0"/>
        <v>0.9</v>
      </c>
    </row>
    <row r="21" spans="9:21" x14ac:dyDescent="0.25">
      <c r="I21" s="182" t="s">
        <v>240</v>
      </c>
      <c r="J21" s="182">
        <v>0.05</v>
      </c>
      <c r="M21" s="4">
        <v>20</v>
      </c>
      <c r="N21" s="4" t="s">
        <v>287</v>
      </c>
      <c r="O21" s="4">
        <v>1.4999999999999999E-2</v>
      </c>
      <c r="P21" s="4">
        <v>1.2E-2</v>
      </c>
      <c r="Q21" s="4">
        <v>0.3</v>
      </c>
      <c r="R21" s="4">
        <v>0.8</v>
      </c>
      <c r="S21" s="4">
        <v>0.9</v>
      </c>
      <c r="T21" s="38"/>
      <c r="U21" s="4">
        <f t="shared" si="0"/>
        <v>0.9</v>
      </c>
    </row>
    <row r="22" spans="9:21" x14ac:dyDescent="0.25">
      <c r="I22" s="4" t="s">
        <v>340</v>
      </c>
      <c r="J22" s="4">
        <v>0.11</v>
      </c>
      <c r="M22" s="4">
        <v>21</v>
      </c>
      <c r="N22" s="4" t="s">
        <v>288</v>
      </c>
      <c r="O22" s="4">
        <v>2.5000000000000001E-2</v>
      </c>
      <c r="P22" s="4">
        <v>1.6E-2</v>
      </c>
      <c r="Q22" s="4">
        <v>0.3</v>
      </c>
      <c r="R22" s="4">
        <v>0.8</v>
      </c>
      <c r="S22" s="4">
        <v>0.9</v>
      </c>
      <c r="T22" s="38"/>
      <c r="U22" s="4">
        <f t="shared" si="0"/>
        <v>0.9</v>
      </c>
    </row>
    <row r="23" spans="9:21" x14ac:dyDescent="0.25">
      <c r="I23" s="4" t="s">
        <v>341</v>
      </c>
      <c r="J23" s="4">
        <v>0.08</v>
      </c>
    </row>
    <row r="24" spans="9:21" x14ac:dyDescent="0.25">
      <c r="I24" s="4" t="s">
        <v>342</v>
      </c>
      <c r="J24" s="4">
        <v>0.01</v>
      </c>
    </row>
    <row r="25" spans="9:21" x14ac:dyDescent="0.25">
      <c r="I25" s="4" t="s">
        <v>343</v>
      </c>
      <c r="J25" s="4">
        <v>0.15</v>
      </c>
    </row>
    <row r="26" spans="9:21" x14ac:dyDescent="0.25">
      <c r="I26" s="4" t="s">
        <v>344</v>
      </c>
      <c r="J26" s="4">
        <v>0.05</v>
      </c>
    </row>
    <row r="27" spans="9:21" x14ac:dyDescent="0.25">
      <c r="I27" s="4" t="s">
        <v>345</v>
      </c>
      <c r="J27" s="4">
        <v>0.05</v>
      </c>
    </row>
    <row r="28" spans="9:21" x14ac:dyDescent="0.25">
      <c r="I28" s="4" t="s">
        <v>346</v>
      </c>
      <c r="J28" s="4">
        <v>0.08</v>
      </c>
    </row>
    <row r="29" spans="9:21" x14ac:dyDescent="0.25">
      <c r="I29" s="4" t="s">
        <v>347</v>
      </c>
      <c r="J29" s="4">
        <v>0.11</v>
      </c>
    </row>
    <row r="30" spans="9:21" x14ac:dyDescent="0.25">
      <c r="I30" s="182" t="s">
        <v>19</v>
      </c>
      <c r="J30" s="182">
        <v>0.21</v>
      </c>
      <c r="K30" s="4" t="s">
        <v>430</v>
      </c>
    </row>
    <row r="31" spans="9:21" x14ac:dyDescent="0.25">
      <c r="I31" s="182" t="s">
        <v>236</v>
      </c>
      <c r="J31" s="182">
        <v>0.08</v>
      </c>
    </row>
    <row r="32" spans="9:21" x14ac:dyDescent="0.25">
      <c r="I32" s="182" t="s">
        <v>237</v>
      </c>
      <c r="J32" s="182">
        <v>0.05</v>
      </c>
    </row>
    <row r="33" spans="9:10" x14ac:dyDescent="0.25">
      <c r="I33" s="182" t="s">
        <v>141</v>
      </c>
      <c r="J33" s="182">
        <v>0.08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A24" sqref="A24:XFD24"/>
    </sheetView>
  </sheetViews>
  <sheetFormatPr baseColWidth="10" defaultColWidth="9.140625" defaultRowHeight="15" x14ac:dyDescent="0.25"/>
  <cols>
    <col min="1" max="1" width="18" style="4" customWidth="1"/>
    <col min="2" max="16384" width="9.140625" style="4"/>
  </cols>
  <sheetData>
    <row r="1" spans="1:6" x14ac:dyDescent="0.25">
      <c r="A1" s="4" t="s">
        <v>267</v>
      </c>
      <c r="B1" s="4" t="s">
        <v>348</v>
      </c>
      <c r="E1" s="5"/>
    </row>
    <row r="2" spans="1:6" x14ac:dyDescent="0.25">
      <c r="A2" s="170" t="s">
        <v>349</v>
      </c>
      <c r="B2" s="4">
        <v>12</v>
      </c>
      <c r="C2" s="151"/>
      <c r="D2" s="38"/>
      <c r="E2" s="151"/>
    </row>
    <row r="3" spans="1:6" x14ac:dyDescent="0.25">
      <c r="A3" s="159" t="s">
        <v>350</v>
      </c>
      <c r="B3" s="4">
        <v>12</v>
      </c>
      <c r="C3" s="151"/>
      <c r="E3" s="151"/>
    </row>
    <row r="4" spans="1:6" x14ac:dyDescent="0.25">
      <c r="A4" s="159" t="s">
        <v>351</v>
      </c>
      <c r="B4" s="4">
        <v>5</v>
      </c>
      <c r="E4" s="151"/>
    </row>
    <row r="5" spans="1:6" x14ac:dyDescent="0.25">
      <c r="A5" s="159" t="s">
        <v>352</v>
      </c>
      <c r="B5" s="4">
        <v>5</v>
      </c>
      <c r="E5" s="153"/>
    </row>
    <row r="6" spans="1:6" x14ac:dyDescent="0.25">
      <c r="A6" s="159" t="s">
        <v>353</v>
      </c>
      <c r="B6" s="4">
        <v>6</v>
      </c>
      <c r="E6" s="151"/>
    </row>
    <row r="7" spans="1:6" x14ac:dyDescent="0.25">
      <c r="A7" s="159" t="s">
        <v>354</v>
      </c>
      <c r="B7" s="4">
        <v>1</v>
      </c>
      <c r="E7" s="151"/>
      <c r="F7" s="156"/>
    </row>
    <row r="8" spans="1:6" x14ac:dyDescent="0.25">
      <c r="A8" s="159" t="s">
        <v>355</v>
      </c>
      <c r="B8" s="4">
        <v>3</v>
      </c>
      <c r="E8" s="151"/>
      <c r="F8" s="156"/>
    </row>
    <row r="9" spans="1:6" x14ac:dyDescent="0.25">
      <c r="A9" s="171" t="s">
        <v>356</v>
      </c>
      <c r="B9" s="4">
        <v>13</v>
      </c>
      <c r="C9" s="151"/>
      <c r="E9" s="151"/>
    </row>
    <row r="10" spans="1:6" x14ac:dyDescent="0.25">
      <c r="A10" s="5" t="s">
        <v>235</v>
      </c>
      <c r="B10" s="4">
        <v>7</v>
      </c>
      <c r="C10" s="151"/>
      <c r="E10" s="151"/>
    </row>
    <row r="11" spans="1:6" x14ac:dyDescent="0.25">
      <c r="A11" s="159" t="s">
        <v>357</v>
      </c>
      <c r="B11" s="4">
        <v>1</v>
      </c>
      <c r="E11" s="151"/>
    </row>
    <row r="12" spans="1:6" x14ac:dyDescent="0.25">
      <c r="A12" s="34" t="s">
        <v>358</v>
      </c>
      <c r="B12" s="4">
        <v>12</v>
      </c>
      <c r="E12" s="151"/>
    </row>
    <row r="13" spans="1:6" x14ac:dyDescent="0.25">
      <c r="A13" s="159" t="s">
        <v>359</v>
      </c>
      <c r="B13" s="4">
        <v>12</v>
      </c>
      <c r="E13" s="151"/>
    </row>
    <row r="14" spans="1:6" x14ac:dyDescent="0.25">
      <c r="A14" s="38" t="s">
        <v>134</v>
      </c>
      <c r="B14" s="4">
        <v>13</v>
      </c>
      <c r="E14" s="151"/>
    </row>
    <row r="15" spans="1:6" x14ac:dyDescent="0.25">
      <c r="A15" s="38" t="s">
        <v>230</v>
      </c>
      <c r="B15" s="4">
        <v>7</v>
      </c>
      <c r="E15" s="151"/>
    </row>
    <row r="16" spans="1:6" x14ac:dyDescent="0.25">
      <c r="E16" s="151"/>
    </row>
    <row r="17" spans="5:5" x14ac:dyDescent="0.25">
      <c r="E17" s="1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Q34" sqref="Q34"/>
    </sheetView>
  </sheetViews>
  <sheetFormatPr baseColWidth="10" defaultColWidth="11.42578125" defaultRowHeight="15" x14ac:dyDescent="0.25"/>
  <sheetData>
    <row r="1" spans="1:2" x14ac:dyDescent="0.25">
      <c r="A1" s="145" t="s">
        <v>195</v>
      </c>
    </row>
    <row r="2" spans="1:2" x14ac:dyDescent="0.25">
      <c r="A2" t="s">
        <v>218</v>
      </c>
    </row>
    <row r="3" spans="1:2" x14ac:dyDescent="0.25">
      <c r="A3" s="4" t="s">
        <v>217</v>
      </c>
    </row>
    <row r="4" spans="1:2" s="4" customFormat="1" x14ac:dyDescent="0.25"/>
    <row r="5" spans="1:2" x14ac:dyDescent="0.25">
      <c r="A5" s="144" t="s">
        <v>205</v>
      </c>
    </row>
    <row r="6" spans="1:2" x14ac:dyDescent="0.25">
      <c r="A6" s="150" t="s">
        <v>223</v>
      </c>
    </row>
    <row r="8" spans="1:2" x14ac:dyDescent="0.25">
      <c r="A8" s="5" t="s">
        <v>196</v>
      </c>
    </row>
    <row r="9" spans="1:2" x14ac:dyDescent="0.25">
      <c r="A9" t="s">
        <v>197</v>
      </c>
    </row>
    <row r="10" spans="1:2" x14ac:dyDescent="0.25">
      <c r="A10" t="s">
        <v>200</v>
      </c>
      <c r="B10" t="s">
        <v>222</v>
      </c>
    </row>
    <row r="11" spans="1:2" s="4" customFormat="1" x14ac:dyDescent="0.25">
      <c r="A11" t="s">
        <v>198</v>
      </c>
      <c r="B11" s="4" t="s">
        <v>219</v>
      </c>
    </row>
    <row r="12" spans="1:2" x14ac:dyDescent="0.25">
      <c r="B12" t="s">
        <v>225</v>
      </c>
    </row>
    <row r="14" spans="1:2" x14ac:dyDescent="0.25">
      <c r="A14" s="150" t="s">
        <v>199</v>
      </c>
    </row>
    <row r="15" spans="1:2" s="4" customFormat="1" x14ac:dyDescent="0.25">
      <c r="A15" t="s">
        <v>200</v>
      </c>
      <c r="B15" t="s">
        <v>224</v>
      </c>
    </row>
    <row r="16" spans="1:2" x14ac:dyDescent="0.25">
      <c r="B16" t="s">
        <v>220</v>
      </c>
    </row>
    <row r="18" spans="1:2" x14ac:dyDescent="0.25">
      <c r="A18" s="150" t="s">
        <v>201</v>
      </c>
    </row>
    <row r="19" spans="1:2" x14ac:dyDescent="0.25">
      <c r="B19" t="s">
        <v>221</v>
      </c>
    </row>
    <row r="20" spans="1:2" x14ac:dyDescent="0.25">
      <c r="B20" t="s">
        <v>202</v>
      </c>
    </row>
    <row r="22" spans="1:2" x14ac:dyDescent="0.25">
      <c r="A22" s="5" t="s">
        <v>203</v>
      </c>
    </row>
    <row r="23" spans="1:2" x14ac:dyDescent="0.25">
      <c r="A23" t="s">
        <v>200</v>
      </c>
      <c r="B23" t="s">
        <v>204</v>
      </c>
    </row>
  </sheetData>
  <pageMargins left="0.7" right="0.7" top="0.78740157499999996" bottom="0.78740157499999996" header="0.3" footer="0.3"/>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39"/>
  <sheetViews>
    <sheetView topLeftCell="A19" zoomScale="90" zoomScaleNormal="90" workbookViewId="0">
      <selection activeCell="J24" sqref="J24"/>
    </sheetView>
  </sheetViews>
  <sheetFormatPr baseColWidth="10" defaultColWidth="10.7109375" defaultRowHeight="15" x14ac:dyDescent="0.25"/>
  <cols>
    <col min="1" max="1" width="21" customWidth="1"/>
    <col min="2" max="2" width="61.7109375" customWidth="1"/>
    <col min="3" max="3" width="36.7109375" style="97" customWidth="1"/>
    <col min="4" max="4" width="15.7109375" customWidth="1"/>
    <col min="11" max="11" width="12.28515625" bestFit="1" customWidth="1"/>
  </cols>
  <sheetData>
    <row r="4" spans="1:9" s="4" customFormat="1" x14ac:dyDescent="0.25">
      <c r="C4" s="97"/>
    </row>
    <row r="5" spans="1:9" ht="15" customHeight="1" x14ac:dyDescent="0.25">
      <c r="A5" s="189" t="s">
        <v>59</v>
      </c>
      <c r="B5" s="188" t="s">
        <v>58</v>
      </c>
      <c r="C5" s="186" t="s">
        <v>111</v>
      </c>
      <c r="D5" s="187"/>
      <c r="I5" s="25"/>
    </row>
    <row r="6" spans="1:9" s="4" customFormat="1" ht="18.75" customHeight="1" x14ac:dyDescent="0.25">
      <c r="A6" s="189"/>
      <c r="B6" s="188"/>
      <c r="C6" s="186"/>
      <c r="D6" s="187"/>
      <c r="E6" s="24"/>
      <c r="F6" s="24"/>
    </row>
    <row r="7" spans="1:9" s="4" customFormat="1" ht="18.75" customHeight="1" x14ac:dyDescent="0.25">
      <c r="A7" s="189"/>
      <c r="B7" s="188"/>
      <c r="C7" s="98"/>
      <c r="D7" s="24"/>
      <c r="E7" s="24"/>
      <c r="F7" s="24"/>
    </row>
    <row r="8" spans="1:9" s="4" customFormat="1" ht="18.75" customHeight="1" x14ac:dyDescent="0.25">
      <c r="A8" s="31"/>
      <c r="B8" s="30"/>
      <c r="C8" s="98"/>
      <c r="D8" s="24"/>
      <c r="E8" s="24"/>
      <c r="F8" s="24"/>
    </row>
    <row r="9" spans="1:9" s="4" customFormat="1" ht="18.75" customHeight="1" x14ac:dyDescent="0.25">
      <c r="A9" s="31" t="s">
        <v>60</v>
      </c>
      <c r="B9" s="190" t="s">
        <v>61</v>
      </c>
      <c r="C9" s="106" t="s">
        <v>112</v>
      </c>
      <c r="D9" s="24"/>
      <c r="E9" s="24"/>
      <c r="F9" s="24"/>
    </row>
    <row r="10" spans="1:9" x14ac:dyDescent="0.25">
      <c r="A10" s="4"/>
      <c r="B10" s="190"/>
      <c r="C10" s="106"/>
    </row>
    <row r="11" spans="1:9" s="4" customFormat="1" ht="15" customHeight="1" x14ac:dyDescent="0.25">
      <c r="A11" s="186" t="s">
        <v>0</v>
      </c>
      <c r="B11" s="188" t="s">
        <v>62</v>
      </c>
      <c r="C11" s="97"/>
    </row>
    <row r="12" spans="1:9" x14ac:dyDescent="0.25">
      <c r="A12" s="186"/>
      <c r="B12" s="188"/>
      <c r="C12" s="194" t="s">
        <v>114</v>
      </c>
    </row>
    <row r="13" spans="1:9" s="4" customFormat="1" x14ac:dyDescent="0.25">
      <c r="A13" s="5"/>
      <c r="C13" s="194"/>
    </row>
    <row r="14" spans="1:9" x14ac:dyDescent="0.25">
      <c r="A14" s="6" t="s">
        <v>1</v>
      </c>
      <c r="B14" s="28" t="s">
        <v>76</v>
      </c>
      <c r="C14" s="97" t="s">
        <v>115</v>
      </c>
    </row>
    <row r="15" spans="1:9" x14ac:dyDescent="0.25">
      <c r="A15" s="5"/>
      <c r="B15" s="4"/>
    </row>
    <row r="16" spans="1:9" s="4" customFormat="1" x14ac:dyDescent="0.25">
      <c r="A16" s="37" t="s">
        <v>73</v>
      </c>
      <c r="B16" s="4" t="s">
        <v>74</v>
      </c>
      <c r="C16" s="97" t="s">
        <v>113</v>
      </c>
    </row>
    <row r="17" spans="1:14" x14ac:dyDescent="0.25">
      <c r="B17" s="1"/>
      <c r="C17" s="96"/>
      <c r="D17" s="2"/>
      <c r="E17" s="2"/>
      <c r="F17" s="2"/>
      <c r="G17" s="2"/>
      <c r="H17" s="2"/>
      <c r="I17" s="2"/>
      <c r="J17" s="2"/>
      <c r="K17" s="2"/>
      <c r="L17" s="2"/>
      <c r="M17" s="2"/>
      <c r="N17" s="2"/>
    </row>
    <row r="18" spans="1:14" x14ac:dyDescent="0.25">
      <c r="A18" s="32" t="s">
        <v>63</v>
      </c>
      <c r="B18" s="32"/>
      <c r="D18" s="3"/>
      <c r="E18" s="3"/>
      <c r="F18" s="3"/>
      <c r="G18" s="3"/>
      <c r="I18" s="3"/>
      <c r="J18" s="3"/>
      <c r="L18" s="3"/>
      <c r="M18" s="3"/>
      <c r="N18" s="3"/>
    </row>
    <row r="19" spans="1:14" s="4" customFormat="1" x14ac:dyDescent="0.25">
      <c r="A19" s="193" t="s">
        <v>66</v>
      </c>
      <c r="C19" s="97"/>
    </row>
    <row r="20" spans="1:14" ht="15" customHeight="1" x14ac:dyDescent="0.25">
      <c r="A20" s="193"/>
      <c r="B20" s="29" t="s">
        <v>64</v>
      </c>
    </row>
    <row r="21" spans="1:14" x14ac:dyDescent="0.25">
      <c r="A21" s="193"/>
      <c r="B21" s="4"/>
    </row>
    <row r="23" spans="1:14" ht="30" x14ac:dyDescent="0.25">
      <c r="A23" s="26" t="s">
        <v>51</v>
      </c>
      <c r="B23" s="29" t="s">
        <v>77</v>
      </c>
      <c r="C23" s="97">
        <v>11.5</v>
      </c>
    </row>
    <row r="24" spans="1:14" x14ac:dyDescent="0.25">
      <c r="A24" s="5"/>
      <c r="B24" s="4"/>
    </row>
    <row r="25" spans="1:14" ht="15" customHeight="1" x14ac:dyDescent="0.25">
      <c r="A25" s="192" t="s">
        <v>4</v>
      </c>
      <c r="B25" s="191" t="s">
        <v>65</v>
      </c>
      <c r="C25" s="187">
        <v>9.6</v>
      </c>
    </row>
    <row r="26" spans="1:14" s="4" customFormat="1" x14ac:dyDescent="0.25">
      <c r="A26" s="192"/>
      <c r="B26" s="191"/>
      <c r="C26" s="187"/>
    </row>
    <row r="27" spans="1:14" x14ac:dyDescent="0.25">
      <c r="A27" s="192"/>
      <c r="B27" s="191"/>
      <c r="C27" s="187"/>
    </row>
    <row r="28" spans="1:14" s="4" customFormat="1" x14ac:dyDescent="0.25">
      <c r="A28" s="5"/>
      <c r="B28" s="27"/>
      <c r="C28" s="97"/>
    </row>
    <row r="29" spans="1:14" ht="30" x14ac:dyDescent="0.25">
      <c r="A29" s="26" t="s">
        <v>52</v>
      </c>
      <c r="B29" s="4" t="s">
        <v>78</v>
      </c>
    </row>
    <row r="30" spans="1:14" x14ac:dyDescent="0.25">
      <c r="A30" s="5"/>
      <c r="B30" s="4"/>
    </row>
    <row r="31" spans="1:14" x14ac:dyDescent="0.25">
      <c r="A31" s="6" t="s">
        <v>53</v>
      </c>
      <c r="B31" s="4" t="s">
        <v>79</v>
      </c>
    </row>
    <row r="32" spans="1:14" x14ac:dyDescent="0.25">
      <c r="A32" s="5"/>
      <c r="B32" s="4"/>
    </row>
    <row r="33" spans="1:3" ht="30" x14ac:dyDescent="0.25">
      <c r="A33" s="26" t="s">
        <v>54</v>
      </c>
      <c r="B33" s="4" t="s">
        <v>80</v>
      </c>
    </row>
    <row r="34" spans="1:3" x14ac:dyDescent="0.25">
      <c r="A34" s="26"/>
      <c r="B34" s="4"/>
    </row>
    <row r="35" spans="1:3" ht="45" x14ac:dyDescent="0.25">
      <c r="A35" s="26" t="s">
        <v>55</v>
      </c>
      <c r="B35" s="3" t="s">
        <v>81</v>
      </c>
    </row>
    <row r="36" spans="1:3" x14ac:dyDescent="0.25">
      <c r="A36" s="26"/>
      <c r="B36" s="4"/>
    </row>
    <row r="37" spans="1:3" ht="30" x14ac:dyDescent="0.25">
      <c r="A37" s="26" t="s">
        <v>57</v>
      </c>
      <c r="B37" s="4" t="s">
        <v>82</v>
      </c>
      <c r="C37" s="97" t="s">
        <v>116</v>
      </c>
    </row>
    <row r="38" spans="1:3" x14ac:dyDescent="0.25">
      <c r="A38" s="26"/>
      <c r="B38" s="4"/>
    </row>
    <row r="39" spans="1:3" ht="30" x14ac:dyDescent="0.25">
      <c r="A39" s="26" t="s">
        <v>56</v>
      </c>
      <c r="B39" s="38" t="s">
        <v>83</v>
      </c>
    </row>
  </sheetData>
  <mergeCells count="12">
    <mergeCell ref="B25:B27"/>
    <mergeCell ref="C25:C27"/>
    <mergeCell ref="A25:A27"/>
    <mergeCell ref="B11:B12"/>
    <mergeCell ref="A11:A12"/>
    <mergeCell ref="A19:A21"/>
    <mergeCell ref="C12:C13"/>
    <mergeCell ref="C5:C6"/>
    <mergeCell ref="D5:D6"/>
    <mergeCell ref="B5:B7"/>
    <mergeCell ref="A5:A7"/>
    <mergeCell ref="B9:B10"/>
  </mergeCells>
  <pageMargins left="0.7" right="0.7" top="0.78740157499999996" bottom="0.78740157499999996" header="0.3" footer="0.3"/>
  <pageSetup paperSize="9" orientation="portrait" horizontalDpi="4294967294" verticalDpi="429496729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Y83"/>
  <sheetViews>
    <sheetView topLeftCell="A4" zoomScale="60" zoomScaleNormal="60" workbookViewId="0">
      <pane xSplit="3" topLeftCell="G1" activePane="topRight" state="frozen"/>
      <selection pane="topRight" activeCell="V56" sqref="V56:X56"/>
    </sheetView>
  </sheetViews>
  <sheetFormatPr baseColWidth="10" defaultColWidth="11.42578125" defaultRowHeight="15" x14ac:dyDescent="0.25"/>
  <cols>
    <col min="1" max="1" width="11.42578125" style="4"/>
    <col min="2" max="2" width="25.7109375" style="4" customWidth="1"/>
    <col min="3" max="3" width="54.28515625" style="4" bestFit="1" customWidth="1"/>
    <col min="4" max="4" width="3.42578125" style="7" customWidth="1"/>
    <col min="5" max="5" width="19.5703125" style="4" customWidth="1"/>
    <col min="6" max="6" width="35" style="4" bestFit="1" customWidth="1"/>
    <col min="7" max="7" width="20.28515625" style="4" customWidth="1"/>
    <col min="8" max="8" width="12.7109375" style="4" customWidth="1"/>
    <col min="9" max="9" width="25.7109375" style="113" bestFit="1" customWidth="1"/>
    <col min="10" max="10" width="28.28515625" style="4" bestFit="1" customWidth="1"/>
    <col min="11" max="11" width="1.7109375" style="22" customWidth="1"/>
    <col min="12" max="12" width="8.5703125" style="4" bestFit="1" customWidth="1"/>
    <col min="13" max="13" width="29" style="4" customWidth="1"/>
    <col min="14" max="14" width="17.42578125" style="4" customWidth="1"/>
    <col min="15" max="15" width="9.28515625" style="4" customWidth="1"/>
    <col min="16" max="16" width="25.7109375" style="4" bestFit="1" customWidth="1"/>
    <col min="17" max="17" width="28.28515625" style="4" bestFit="1" customWidth="1"/>
    <col min="18" max="18" width="1.7109375" style="22" customWidth="1"/>
    <col min="19" max="20" width="11.42578125" style="4"/>
    <col min="21" max="21" width="34.28515625" style="4" bestFit="1" customWidth="1"/>
    <col min="22" max="22" width="11.42578125" style="4"/>
    <col min="23" max="23" width="25.7109375" style="4" bestFit="1" customWidth="1"/>
    <col min="24" max="24" width="28.28515625" style="4" bestFit="1" customWidth="1"/>
    <col min="25" max="25" width="1.7109375" style="7" customWidth="1"/>
    <col min="26" max="16384" width="11.42578125" style="4"/>
  </cols>
  <sheetData>
    <row r="6" spans="1:25" ht="15.75" thickBot="1" x14ac:dyDescent="0.3">
      <c r="A6" s="9"/>
      <c r="B6" s="9"/>
      <c r="C6" s="9"/>
    </row>
    <row r="7" spans="1:25" ht="15.75" thickBot="1" x14ac:dyDescent="0.3">
      <c r="A7" s="20"/>
      <c r="B7" s="21" t="s">
        <v>40</v>
      </c>
      <c r="C7" s="21" t="s">
        <v>41</v>
      </c>
      <c r="D7" s="19"/>
      <c r="E7" s="197" t="s">
        <v>48</v>
      </c>
      <c r="F7" s="198"/>
      <c r="G7" s="198"/>
      <c r="H7" s="198"/>
      <c r="I7" s="198"/>
      <c r="J7" s="198"/>
      <c r="K7" s="63"/>
      <c r="L7" s="197" t="s">
        <v>49</v>
      </c>
      <c r="M7" s="198"/>
      <c r="N7" s="198"/>
      <c r="O7" s="198"/>
      <c r="P7" s="198"/>
      <c r="Q7" s="198"/>
      <c r="R7" s="63"/>
      <c r="S7" s="197" t="s">
        <v>50</v>
      </c>
      <c r="T7" s="198"/>
      <c r="U7" s="198"/>
      <c r="V7" s="198"/>
      <c r="W7" s="198"/>
      <c r="X7" s="198"/>
      <c r="Y7" s="64"/>
    </row>
    <row r="8" spans="1:25" ht="15" customHeight="1" x14ac:dyDescent="0.25">
      <c r="A8" s="201" t="s">
        <v>39</v>
      </c>
      <c r="B8" s="204" t="s">
        <v>38</v>
      </c>
      <c r="C8" s="39" t="s">
        <v>2</v>
      </c>
      <c r="D8" s="8"/>
      <c r="E8" s="207" t="s">
        <v>185</v>
      </c>
      <c r="F8" s="208"/>
      <c r="G8" s="208"/>
      <c r="H8" s="208"/>
      <c r="I8" s="208"/>
      <c r="J8" s="208"/>
      <c r="K8" s="23"/>
      <c r="L8" s="207" t="s">
        <v>186</v>
      </c>
      <c r="M8" s="208"/>
      <c r="N8" s="208"/>
      <c r="O8" s="208"/>
      <c r="P8" s="208"/>
      <c r="Q8" s="208"/>
      <c r="R8" s="23"/>
      <c r="S8" s="207" t="s">
        <v>187</v>
      </c>
      <c r="T8" s="208"/>
      <c r="U8" s="208"/>
      <c r="V8" s="208"/>
      <c r="W8" s="208"/>
      <c r="X8" s="208"/>
    </row>
    <row r="9" spans="1:25" x14ac:dyDescent="0.25">
      <c r="A9" s="202"/>
      <c r="B9" s="205"/>
      <c r="C9" s="65" t="s">
        <v>3</v>
      </c>
      <c r="D9" s="8"/>
      <c r="E9" s="199" t="s">
        <v>118</v>
      </c>
      <c r="F9" s="200"/>
      <c r="G9" s="200"/>
      <c r="H9" s="200"/>
      <c r="I9" s="200"/>
      <c r="J9" s="200"/>
      <c r="K9" s="23"/>
      <c r="L9" s="199" t="s">
        <v>118</v>
      </c>
      <c r="M9" s="200"/>
      <c r="N9" s="200"/>
      <c r="O9" s="200"/>
      <c r="P9" s="200"/>
      <c r="Q9" s="200"/>
      <c r="R9" s="23"/>
      <c r="S9" s="199" t="s">
        <v>118</v>
      </c>
      <c r="T9" s="200"/>
      <c r="U9" s="200"/>
      <c r="V9" s="200"/>
      <c r="W9" s="200"/>
      <c r="X9" s="200"/>
    </row>
    <row r="10" spans="1:25" x14ac:dyDescent="0.25">
      <c r="A10" s="202"/>
      <c r="B10" s="205"/>
      <c r="C10" s="65" t="s">
        <v>102</v>
      </c>
      <c r="D10" s="8"/>
      <c r="E10" s="209" t="s">
        <v>119</v>
      </c>
      <c r="F10" s="209"/>
      <c r="G10" s="209"/>
      <c r="H10" s="209"/>
      <c r="I10" s="209"/>
      <c r="J10" s="209"/>
      <c r="K10" s="67"/>
      <c r="L10" s="209" t="s">
        <v>119</v>
      </c>
      <c r="M10" s="209"/>
      <c r="N10" s="209"/>
      <c r="O10" s="209"/>
      <c r="P10" s="209"/>
      <c r="Q10" s="209"/>
      <c r="R10" s="67"/>
      <c r="S10" s="209" t="s">
        <v>119</v>
      </c>
      <c r="T10" s="209"/>
      <c r="U10" s="209"/>
      <c r="V10" s="209"/>
      <c r="W10" s="209"/>
      <c r="X10" s="209"/>
      <c r="Y10" s="68"/>
    </row>
    <row r="11" spans="1:25" ht="15.75" thickBot="1" x14ac:dyDescent="0.3">
      <c r="A11" s="203"/>
      <c r="B11" s="206"/>
      <c r="C11" s="66" t="s">
        <v>67</v>
      </c>
      <c r="D11" s="69"/>
      <c r="E11" s="212"/>
      <c r="F11" s="213"/>
      <c r="G11" s="213"/>
      <c r="H11" s="213"/>
      <c r="I11" s="213"/>
      <c r="J11" s="214"/>
      <c r="K11" s="70"/>
      <c r="L11" s="212"/>
      <c r="M11" s="213"/>
      <c r="N11" s="213"/>
      <c r="O11" s="213"/>
      <c r="P11" s="213"/>
      <c r="Q11" s="214"/>
      <c r="R11" s="70"/>
      <c r="S11" s="212"/>
      <c r="T11" s="213"/>
      <c r="U11" s="213"/>
      <c r="V11" s="213"/>
      <c r="W11" s="213"/>
      <c r="X11" s="214"/>
      <c r="Y11" s="71"/>
    </row>
    <row r="12" spans="1:25" ht="15.75" thickBot="1" x14ac:dyDescent="0.3">
      <c r="A12" s="10"/>
      <c r="B12" s="12"/>
      <c r="C12" s="56"/>
      <c r="E12" s="210"/>
      <c r="F12" s="211"/>
      <c r="G12" s="211"/>
      <c r="H12" s="211"/>
      <c r="I12" s="211"/>
      <c r="J12" s="211"/>
      <c r="L12" s="210"/>
      <c r="M12" s="211"/>
      <c r="N12" s="211"/>
      <c r="O12" s="211"/>
      <c r="P12" s="211"/>
      <c r="Q12" s="211"/>
      <c r="S12" s="210"/>
      <c r="T12" s="211"/>
      <c r="U12" s="211"/>
      <c r="V12" s="211"/>
      <c r="W12" s="211"/>
      <c r="X12" s="211"/>
    </row>
    <row r="13" spans="1:25" ht="15" customHeight="1" x14ac:dyDescent="0.25">
      <c r="A13" s="215" t="s">
        <v>37</v>
      </c>
      <c r="B13" s="216" t="s">
        <v>96</v>
      </c>
      <c r="C13" s="54" t="s">
        <v>5</v>
      </c>
      <c r="E13" s="217" t="s">
        <v>160</v>
      </c>
      <c r="F13" s="218"/>
      <c r="G13" s="218"/>
      <c r="H13" s="218"/>
      <c r="I13" s="219"/>
      <c r="J13" s="92" t="s">
        <v>163</v>
      </c>
      <c r="L13" s="217" t="s">
        <v>160</v>
      </c>
      <c r="M13" s="218"/>
      <c r="N13" s="218"/>
      <c r="O13" s="218"/>
      <c r="P13" s="219"/>
      <c r="Q13" s="92" t="s">
        <v>163</v>
      </c>
      <c r="S13" s="217" t="s">
        <v>160</v>
      </c>
      <c r="T13" s="218"/>
      <c r="U13" s="218"/>
      <c r="V13" s="218"/>
      <c r="W13" s="219"/>
      <c r="X13" s="92" t="s">
        <v>163</v>
      </c>
    </row>
    <row r="14" spans="1:25" x14ac:dyDescent="0.25">
      <c r="A14" s="215"/>
      <c r="B14" s="216"/>
      <c r="C14" s="13" t="s">
        <v>6</v>
      </c>
      <c r="E14" s="223" t="s">
        <v>121</v>
      </c>
      <c r="F14" s="224"/>
      <c r="G14" s="224"/>
      <c r="H14" s="224"/>
      <c r="I14" s="225"/>
      <c r="J14" s="80" t="s">
        <v>162</v>
      </c>
      <c r="L14" s="223" t="s">
        <v>121</v>
      </c>
      <c r="M14" s="224"/>
      <c r="N14" s="224"/>
      <c r="O14" s="224"/>
      <c r="P14" s="225"/>
      <c r="Q14" s="80" t="s">
        <v>162</v>
      </c>
      <c r="S14" s="223" t="s">
        <v>121</v>
      </c>
      <c r="T14" s="224"/>
      <c r="U14" s="224"/>
      <c r="V14" s="224"/>
      <c r="W14" s="225"/>
      <c r="X14" s="80" t="s">
        <v>162</v>
      </c>
    </row>
    <row r="15" spans="1:25" ht="15.75" thickBot="1" x14ac:dyDescent="0.3">
      <c r="A15" s="215"/>
      <c r="B15" s="216"/>
      <c r="C15" s="55" t="s">
        <v>7</v>
      </c>
      <c r="E15" s="220"/>
      <c r="F15" s="221"/>
      <c r="G15" s="221"/>
      <c r="H15" s="221"/>
      <c r="I15" s="222"/>
      <c r="J15" s="91" t="s">
        <v>108</v>
      </c>
      <c r="L15" s="220"/>
      <c r="M15" s="221"/>
      <c r="N15" s="221"/>
      <c r="O15" s="221"/>
      <c r="P15" s="222"/>
      <c r="Q15" s="91" t="s">
        <v>108</v>
      </c>
      <c r="S15" s="220"/>
      <c r="T15" s="221"/>
      <c r="U15" s="221"/>
      <c r="V15" s="221"/>
      <c r="W15" s="222"/>
      <c r="X15" s="91" t="s">
        <v>108</v>
      </c>
    </row>
    <row r="16" spans="1:25" ht="15.75" thickBot="1" x14ac:dyDescent="0.3">
      <c r="A16" s="11"/>
      <c r="B16" s="14"/>
      <c r="C16" s="14"/>
      <c r="E16" s="210"/>
      <c r="F16" s="211"/>
      <c r="G16" s="211"/>
      <c r="H16" s="211"/>
      <c r="I16" s="211"/>
      <c r="J16" s="211"/>
      <c r="L16" s="210"/>
      <c r="M16" s="211"/>
      <c r="N16" s="211"/>
      <c r="O16" s="211"/>
      <c r="P16" s="211"/>
      <c r="Q16" s="211"/>
      <c r="S16" s="210"/>
      <c r="T16" s="211"/>
      <c r="U16" s="211"/>
      <c r="V16" s="211"/>
      <c r="W16" s="211"/>
      <c r="X16" s="211"/>
    </row>
    <row r="17" spans="1:24" x14ac:dyDescent="0.25">
      <c r="A17" s="226" t="s">
        <v>8</v>
      </c>
      <c r="B17" s="229" t="s">
        <v>97</v>
      </c>
      <c r="C17" s="52" t="s">
        <v>68</v>
      </c>
      <c r="E17" s="232" t="s">
        <v>131</v>
      </c>
      <c r="F17" s="233"/>
      <c r="G17" s="233"/>
      <c r="H17" s="233"/>
      <c r="I17" s="233"/>
      <c r="J17" s="233"/>
      <c r="L17" s="232" t="s">
        <v>131</v>
      </c>
      <c r="M17" s="233"/>
      <c r="N17" s="233"/>
      <c r="O17" s="233"/>
      <c r="P17" s="233"/>
      <c r="Q17" s="233"/>
      <c r="S17" s="232" t="s">
        <v>131</v>
      </c>
      <c r="T17" s="233"/>
      <c r="U17" s="233"/>
      <c r="V17" s="233"/>
      <c r="W17" s="233"/>
      <c r="X17" s="233"/>
    </row>
    <row r="18" spans="1:24" x14ac:dyDescent="0.25">
      <c r="A18" s="227"/>
      <c r="B18" s="230"/>
      <c r="C18" s="15" t="s">
        <v>75</v>
      </c>
      <c r="E18" s="239" t="s">
        <v>151</v>
      </c>
      <c r="F18" s="240"/>
      <c r="G18" s="240"/>
      <c r="H18" s="240"/>
      <c r="I18" s="240"/>
      <c r="J18" s="240"/>
      <c r="L18" s="239" t="s">
        <v>151</v>
      </c>
      <c r="M18" s="240"/>
      <c r="N18" s="240"/>
      <c r="O18" s="240"/>
      <c r="P18" s="240"/>
      <c r="Q18" s="240"/>
      <c r="S18" s="239" t="s">
        <v>151</v>
      </c>
      <c r="T18" s="240"/>
      <c r="U18" s="240"/>
      <c r="V18" s="240"/>
      <c r="W18" s="240"/>
      <c r="X18" s="240"/>
    </row>
    <row r="19" spans="1:24" ht="15.75" thickBot="1" x14ac:dyDescent="0.3">
      <c r="A19" s="228"/>
      <c r="B19" s="231"/>
      <c r="C19" s="53" t="s">
        <v>10</v>
      </c>
      <c r="E19" s="234" t="s">
        <v>123</v>
      </c>
      <c r="F19" s="235"/>
      <c r="G19" s="235"/>
      <c r="H19" s="235"/>
      <c r="I19" s="236"/>
      <c r="J19" s="81" t="s">
        <v>161</v>
      </c>
      <c r="L19" s="234" t="s">
        <v>123</v>
      </c>
      <c r="M19" s="235"/>
      <c r="N19" s="235"/>
      <c r="O19" s="235"/>
      <c r="P19" s="236"/>
      <c r="Q19" s="81" t="s">
        <v>161</v>
      </c>
      <c r="S19" s="234" t="s">
        <v>123</v>
      </c>
      <c r="T19" s="235"/>
      <c r="U19" s="235"/>
      <c r="V19" s="235"/>
      <c r="W19" s="236"/>
      <c r="X19" s="81" t="s">
        <v>161</v>
      </c>
    </row>
    <row r="20" spans="1:24" ht="15.75" thickBot="1" x14ac:dyDescent="0.3">
      <c r="A20" s="11"/>
      <c r="B20" s="14"/>
      <c r="C20" s="14"/>
      <c r="E20" s="237"/>
      <c r="F20" s="238"/>
      <c r="G20" s="238"/>
      <c r="H20" s="238"/>
      <c r="I20" s="238"/>
      <c r="J20" s="238"/>
      <c r="L20" s="237"/>
      <c r="M20" s="238"/>
      <c r="N20" s="238"/>
      <c r="O20" s="238"/>
      <c r="P20" s="238"/>
      <c r="Q20" s="238"/>
      <c r="S20" s="237"/>
      <c r="T20" s="238"/>
      <c r="U20" s="238"/>
      <c r="V20" s="238"/>
      <c r="W20" s="238"/>
      <c r="X20" s="238"/>
    </row>
    <row r="21" spans="1:24" ht="15.75" thickBot="1" x14ac:dyDescent="0.3">
      <c r="A21" s="241" t="s">
        <v>11</v>
      </c>
      <c r="B21" s="244" t="s">
        <v>98</v>
      </c>
      <c r="C21" s="47" t="s">
        <v>90</v>
      </c>
      <c r="E21" s="93" t="s">
        <v>32</v>
      </c>
      <c r="F21" s="94" t="s">
        <v>72</v>
      </c>
      <c r="G21" s="94" t="s">
        <v>20</v>
      </c>
      <c r="H21" s="94" t="s">
        <v>109</v>
      </c>
      <c r="I21" s="95" t="s">
        <v>93</v>
      </c>
      <c r="J21" s="95" t="s">
        <v>23</v>
      </c>
      <c r="L21" s="93" t="s">
        <v>32</v>
      </c>
      <c r="M21" s="94" t="s">
        <v>72</v>
      </c>
      <c r="N21" s="94" t="s">
        <v>20</v>
      </c>
      <c r="O21" s="94" t="s">
        <v>109</v>
      </c>
      <c r="P21" s="95" t="s">
        <v>93</v>
      </c>
      <c r="Q21" s="95" t="s">
        <v>23</v>
      </c>
      <c r="S21" s="93" t="s">
        <v>32</v>
      </c>
      <c r="T21" s="94" t="s">
        <v>72</v>
      </c>
      <c r="U21" s="94" t="s">
        <v>20</v>
      </c>
      <c r="V21" s="94" t="s">
        <v>109</v>
      </c>
      <c r="W21" s="95" t="s">
        <v>93</v>
      </c>
      <c r="X21" s="95" t="s">
        <v>23</v>
      </c>
    </row>
    <row r="22" spans="1:24" ht="15" customHeight="1" x14ac:dyDescent="0.25">
      <c r="A22" s="242"/>
      <c r="B22" s="245"/>
      <c r="C22" s="43" t="s">
        <v>12</v>
      </c>
      <c r="E22" s="249" t="s">
        <v>168</v>
      </c>
      <c r="F22" s="195" t="s">
        <v>206</v>
      </c>
      <c r="G22" s="253" t="s">
        <v>170</v>
      </c>
      <c r="H22" s="253" t="s">
        <v>169</v>
      </c>
      <c r="I22" s="257">
        <v>300</v>
      </c>
      <c r="J22" s="251">
        <v>1</v>
      </c>
      <c r="L22" s="255" t="s">
        <v>168</v>
      </c>
      <c r="M22" s="195" t="s">
        <v>206</v>
      </c>
      <c r="N22" s="251" t="s">
        <v>170</v>
      </c>
      <c r="O22" s="251" t="s">
        <v>169</v>
      </c>
      <c r="P22" s="257">
        <v>300</v>
      </c>
      <c r="Q22" s="251">
        <v>1</v>
      </c>
      <c r="S22" s="255" t="s">
        <v>168</v>
      </c>
      <c r="T22" s="195" t="s">
        <v>206</v>
      </c>
      <c r="U22" s="251" t="s">
        <v>170</v>
      </c>
      <c r="V22" s="251" t="s">
        <v>169</v>
      </c>
      <c r="W22" s="257">
        <v>300</v>
      </c>
      <c r="X22" s="251">
        <v>1</v>
      </c>
    </row>
    <row r="23" spans="1:24" x14ac:dyDescent="0.25">
      <c r="A23" s="242"/>
      <c r="B23" s="245"/>
      <c r="C23" s="16" t="s">
        <v>13</v>
      </c>
      <c r="E23" s="250"/>
      <c r="F23" s="196"/>
      <c r="G23" s="254"/>
      <c r="H23" s="254"/>
      <c r="I23" s="258"/>
      <c r="J23" s="252"/>
      <c r="L23" s="256"/>
      <c r="M23" s="196"/>
      <c r="N23" s="252"/>
      <c r="O23" s="252"/>
      <c r="P23" s="258"/>
      <c r="Q23" s="252"/>
      <c r="S23" s="256"/>
      <c r="T23" s="196"/>
      <c r="U23" s="252"/>
      <c r="V23" s="252"/>
      <c r="W23" s="258"/>
      <c r="X23" s="252"/>
    </row>
    <row r="24" spans="1:24" x14ac:dyDescent="0.25">
      <c r="A24" s="242"/>
      <c r="B24" s="245"/>
      <c r="C24" s="16" t="s">
        <v>14</v>
      </c>
      <c r="E24" s="50"/>
      <c r="F24" s="119"/>
      <c r="G24" s="83"/>
      <c r="H24" s="83"/>
      <c r="I24" s="119"/>
      <c r="J24" s="119"/>
      <c r="L24" s="50"/>
      <c r="M24" s="119"/>
      <c r="N24" s="83"/>
      <c r="O24" s="83"/>
      <c r="P24" s="119"/>
      <c r="Q24" s="119"/>
      <c r="S24" s="50"/>
      <c r="T24" s="119"/>
      <c r="U24" s="83"/>
      <c r="V24" s="83"/>
      <c r="W24" s="119"/>
      <c r="X24" s="119"/>
    </row>
    <row r="25" spans="1:24" x14ac:dyDescent="0.25">
      <c r="A25" s="242"/>
      <c r="B25" s="245"/>
      <c r="C25" s="16" t="s">
        <v>15</v>
      </c>
      <c r="E25" s="50"/>
      <c r="F25" s="119"/>
      <c r="G25" s="83"/>
      <c r="H25" s="83"/>
      <c r="I25" s="119"/>
      <c r="J25" s="119"/>
      <c r="L25" s="50"/>
      <c r="M25" s="119"/>
      <c r="N25" s="83"/>
      <c r="O25" s="83"/>
      <c r="P25" s="119"/>
      <c r="Q25" s="119"/>
      <c r="S25" s="50"/>
      <c r="T25" s="119"/>
      <c r="U25" s="83"/>
      <c r="V25" s="83"/>
      <c r="W25" s="119"/>
      <c r="X25" s="119"/>
    </row>
    <row r="26" spans="1:24" x14ac:dyDescent="0.25">
      <c r="A26" s="242"/>
      <c r="B26" s="245"/>
      <c r="C26" s="16" t="s">
        <v>16</v>
      </c>
      <c r="E26" s="50"/>
      <c r="F26" s="119"/>
      <c r="G26" s="83"/>
      <c r="H26" s="83"/>
      <c r="I26" s="119"/>
      <c r="J26" s="119"/>
      <c r="L26" s="50"/>
      <c r="M26" s="119"/>
      <c r="N26" s="83"/>
      <c r="O26" s="83"/>
      <c r="P26" s="119"/>
      <c r="Q26" s="119"/>
      <c r="S26" s="50"/>
      <c r="T26" s="119"/>
      <c r="U26" s="83"/>
      <c r="V26" s="83"/>
      <c r="W26" s="119"/>
      <c r="X26" s="119"/>
    </row>
    <row r="27" spans="1:24" x14ac:dyDescent="0.25">
      <c r="A27" s="242"/>
      <c r="B27" s="245"/>
      <c r="C27" s="16" t="s">
        <v>17</v>
      </c>
      <c r="E27" s="50"/>
      <c r="F27" s="119"/>
      <c r="G27" s="83"/>
      <c r="H27" s="83"/>
      <c r="I27" s="119"/>
      <c r="J27" s="119"/>
      <c r="L27" s="50"/>
      <c r="M27" s="119"/>
      <c r="N27" s="83"/>
      <c r="O27" s="83"/>
      <c r="P27" s="119"/>
      <c r="Q27" s="119"/>
      <c r="S27" s="50"/>
      <c r="T27" s="119"/>
      <c r="U27" s="83"/>
      <c r="V27" s="83"/>
      <c r="W27" s="119"/>
      <c r="X27" s="119"/>
    </row>
    <row r="28" spans="1:24" ht="15.75" thickBot="1" x14ac:dyDescent="0.3">
      <c r="A28" s="242"/>
      <c r="B28" s="245"/>
      <c r="C28" s="33" t="s">
        <v>105</v>
      </c>
      <c r="E28" s="51"/>
      <c r="F28" s="46"/>
      <c r="G28" s="85"/>
      <c r="H28" s="85"/>
      <c r="I28" s="46"/>
      <c r="J28" s="46"/>
      <c r="L28" s="51"/>
      <c r="M28" s="46"/>
      <c r="N28" s="85"/>
      <c r="O28" s="85"/>
      <c r="P28" s="46"/>
      <c r="Q28" s="46"/>
      <c r="S28" s="51"/>
      <c r="T28" s="46"/>
      <c r="U28" s="85"/>
      <c r="V28" s="85"/>
      <c r="W28" s="46"/>
      <c r="X28" s="46"/>
    </row>
    <row r="29" spans="1:24" ht="18" thickBot="1" x14ac:dyDescent="0.3">
      <c r="A29" s="242"/>
      <c r="B29" s="245"/>
      <c r="C29" s="47" t="s">
        <v>88</v>
      </c>
      <c r="E29" s="93" t="s">
        <v>32</v>
      </c>
      <c r="F29" s="95" t="s">
        <v>89</v>
      </c>
      <c r="G29" s="94" t="s">
        <v>20</v>
      </c>
      <c r="H29" s="94" t="s">
        <v>109</v>
      </c>
      <c r="I29" s="95" t="s">
        <v>91</v>
      </c>
      <c r="J29" s="95" t="s">
        <v>23</v>
      </c>
      <c r="L29" s="93" t="s">
        <v>32</v>
      </c>
      <c r="M29" s="95" t="s">
        <v>89</v>
      </c>
      <c r="N29" s="94" t="s">
        <v>20</v>
      </c>
      <c r="O29" s="94" t="s">
        <v>109</v>
      </c>
      <c r="P29" s="95" t="s">
        <v>91</v>
      </c>
      <c r="Q29" s="95" t="s">
        <v>23</v>
      </c>
      <c r="S29" s="93" t="s">
        <v>32</v>
      </c>
      <c r="T29" s="95" t="s">
        <v>89</v>
      </c>
      <c r="U29" s="94" t="s">
        <v>20</v>
      </c>
      <c r="V29" s="94" t="s">
        <v>109</v>
      </c>
      <c r="W29" s="95" t="s">
        <v>91</v>
      </c>
      <c r="X29" s="95" t="s">
        <v>23</v>
      </c>
    </row>
    <row r="30" spans="1:24" x14ac:dyDescent="0.25">
      <c r="A30" s="242"/>
      <c r="B30" s="245"/>
      <c r="C30" s="43" t="s">
        <v>103</v>
      </c>
      <c r="E30" s="49" t="s">
        <v>208</v>
      </c>
      <c r="F30" s="112" t="s">
        <v>207</v>
      </c>
      <c r="G30" s="82" t="s">
        <v>167</v>
      </c>
      <c r="H30" s="111" t="s">
        <v>166</v>
      </c>
      <c r="I30" s="74" t="s">
        <v>211</v>
      </c>
      <c r="J30" s="74">
        <v>1</v>
      </c>
      <c r="L30" s="139"/>
      <c r="M30" s="135"/>
      <c r="N30" s="136"/>
      <c r="O30" s="137"/>
      <c r="P30" s="138"/>
      <c r="Q30" s="138"/>
      <c r="R30" s="140"/>
      <c r="S30" s="139"/>
      <c r="T30" s="135"/>
      <c r="U30" s="136"/>
      <c r="V30" s="137"/>
      <c r="W30" s="138"/>
      <c r="X30" s="138"/>
    </row>
    <row r="31" spans="1:24" ht="15.75" thickBot="1" x14ac:dyDescent="0.3">
      <c r="A31" s="243"/>
      <c r="B31" s="246"/>
      <c r="C31" s="45" t="s">
        <v>104</v>
      </c>
      <c r="E31" s="49"/>
      <c r="F31" s="112"/>
      <c r="G31" s="82"/>
      <c r="H31" s="111"/>
      <c r="I31" s="74"/>
      <c r="J31" s="46"/>
      <c r="L31" s="49"/>
      <c r="M31" s="112"/>
      <c r="N31" s="82"/>
      <c r="O31" s="111"/>
      <c r="P31" s="74"/>
      <c r="Q31" s="46"/>
      <c r="S31" s="49"/>
      <c r="T31" s="112"/>
      <c r="U31" s="82"/>
      <c r="V31" s="111"/>
      <c r="W31" s="74"/>
      <c r="X31" s="46"/>
    </row>
    <row r="32" spans="1:24" ht="15.75" thickBot="1" x14ac:dyDescent="0.3">
      <c r="A32" s="241" t="s">
        <v>11</v>
      </c>
      <c r="B32" s="244" t="s">
        <v>98</v>
      </c>
      <c r="C32" s="47" t="s">
        <v>90</v>
      </c>
      <c r="E32" s="93" t="s">
        <v>32</v>
      </c>
      <c r="F32" s="94" t="s">
        <v>72</v>
      </c>
      <c r="G32" s="94" t="s">
        <v>20</v>
      </c>
      <c r="H32" s="94" t="s">
        <v>109</v>
      </c>
      <c r="I32" s="95" t="s">
        <v>93</v>
      </c>
      <c r="J32" s="95" t="s">
        <v>23</v>
      </c>
      <c r="L32" s="93" t="s">
        <v>32</v>
      </c>
      <c r="M32" s="94" t="s">
        <v>72</v>
      </c>
      <c r="N32" s="94" t="s">
        <v>20</v>
      </c>
      <c r="O32" s="94" t="s">
        <v>109</v>
      </c>
      <c r="P32" s="95" t="s">
        <v>93</v>
      </c>
      <c r="Q32" s="95" t="s">
        <v>23</v>
      </c>
      <c r="S32" s="93" t="s">
        <v>32</v>
      </c>
      <c r="T32" s="94" t="s">
        <v>72</v>
      </c>
      <c r="U32" s="94" t="s">
        <v>20</v>
      </c>
      <c r="V32" s="94" t="s">
        <v>109</v>
      </c>
      <c r="W32" s="95" t="s">
        <v>93</v>
      </c>
      <c r="X32" s="95" t="s">
        <v>23</v>
      </c>
    </row>
    <row r="33" spans="1:25" s="129" customFormat="1" ht="27" customHeight="1" x14ac:dyDescent="0.25">
      <c r="A33" s="242"/>
      <c r="B33" s="245"/>
      <c r="C33" s="123" t="s">
        <v>12</v>
      </c>
      <c r="D33" s="124"/>
      <c r="E33" s="130" t="s">
        <v>124</v>
      </c>
      <c r="F33" s="125">
        <v>0.46</v>
      </c>
      <c r="G33" s="126" t="s">
        <v>167</v>
      </c>
      <c r="H33" s="122" t="s">
        <v>171</v>
      </c>
      <c r="I33" s="141" t="s">
        <v>209</v>
      </c>
      <c r="J33" s="127">
        <v>2</v>
      </c>
      <c r="K33" s="128"/>
      <c r="L33" s="130" t="s">
        <v>124</v>
      </c>
      <c r="M33" s="125">
        <v>0.46</v>
      </c>
      <c r="N33" s="126" t="s">
        <v>167</v>
      </c>
      <c r="O33" s="122" t="s">
        <v>171</v>
      </c>
      <c r="P33" s="141" t="s">
        <v>209</v>
      </c>
      <c r="Q33" s="127">
        <v>2</v>
      </c>
      <c r="R33" s="128"/>
      <c r="S33" s="130" t="s">
        <v>124</v>
      </c>
      <c r="T33" s="125">
        <v>0.46</v>
      </c>
      <c r="U33" s="126" t="s">
        <v>167</v>
      </c>
      <c r="V33" s="122" t="s">
        <v>171</v>
      </c>
      <c r="W33" s="141" t="s">
        <v>209</v>
      </c>
      <c r="X33" s="127">
        <v>2</v>
      </c>
      <c r="Y33" s="124"/>
    </row>
    <row r="34" spans="1:25" x14ac:dyDescent="0.25">
      <c r="A34" s="242"/>
      <c r="B34" s="245"/>
      <c r="C34" s="16" t="s">
        <v>13</v>
      </c>
      <c r="E34" s="131"/>
      <c r="F34" s="42"/>
      <c r="G34" s="83"/>
      <c r="H34" s="83"/>
      <c r="I34" s="119"/>
      <c r="J34" s="119"/>
      <c r="L34" s="131"/>
      <c r="M34" s="42"/>
      <c r="N34" s="83"/>
      <c r="O34" s="83"/>
      <c r="P34" s="119"/>
      <c r="Q34" s="119"/>
      <c r="S34" s="131"/>
      <c r="T34" s="42"/>
      <c r="U34" s="83"/>
      <c r="V34" s="83"/>
      <c r="W34" s="119"/>
      <c r="X34" s="119"/>
    </row>
    <row r="35" spans="1:25" x14ac:dyDescent="0.25">
      <c r="A35" s="242"/>
      <c r="B35" s="245"/>
      <c r="C35" s="16" t="s">
        <v>14</v>
      </c>
      <c r="E35" s="50"/>
      <c r="F35" s="119"/>
      <c r="G35" s="83"/>
      <c r="H35" s="83"/>
      <c r="I35" s="119"/>
      <c r="J35" s="119"/>
      <c r="L35" s="50"/>
      <c r="M35" s="119"/>
      <c r="N35" s="83"/>
      <c r="O35" s="83"/>
      <c r="P35" s="119"/>
      <c r="Q35" s="119"/>
      <c r="S35" s="50"/>
      <c r="T35" s="119"/>
      <c r="U35" s="83"/>
      <c r="V35" s="83"/>
      <c r="W35" s="119"/>
      <c r="X35" s="119"/>
    </row>
    <row r="36" spans="1:25" x14ac:dyDescent="0.25">
      <c r="A36" s="242"/>
      <c r="B36" s="245"/>
      <c r="C36" s="16" t="s">
        <v>15</v>
      </c>
      <c r="E36" s="50"/>
      <c r="F36" s="119"/>
      <c r="G36" s="83"/>
      <c r="H36" s="83"/>
      <c r="I36" s="119"/>
      <c r="J36" s="119"/>
      <c r="L36" s="50"/>
      <c r="M36" s="119"/>
      <c r="N36" s="83"/>
      <c r="O36" s="83"/>
      <c r="P36" s="119"/>
      <c r="Q36" s="119"/>
      <c r="S36" s="50"/>
      <c r="T36" s="119"/>
      <c r="U36" s="83"/>
      <c r="V36" s="83"/>
      <c r="W36" s="119"/>
      <c r="X36" s="119"/>
    </row>
    <row r="37" spans="1:25" x14ac:dyDescent="0.25">
      <c r="A37" s="242"/>
      <c r="B37" s="245"/>
      <c r="C37" s="16" t="s">
        <v>16</v>
      </c>
      <c r="E37" s="50"/>
      <c r="F37" s="119"/>
      <c r="G37" s="83"/>
      <c r="H37" s="83"/>
      <c r="I37" s="119"/>
      <c r="J37" s="119"/>
      <c r="L37" s="50"/>
      <c r="M37" s="119"/>
      <c r="N37" s="83"/>
      <c r="O37" s="83"/>
      <c r="P37" s="119"/>
      <c r="Q37" s="119"/>
      <c r="S37" s="50"/>
      <c r="T37" s="119"/>
      <c r="U37" s="83"/>
      <c r="V37" s="83"/>
      <c r="W37" s="119"/>
      <c r="X37" s="119"/>
    </row>
    <row r="38" spans="1:25" x14ac:dyDescent="0.25">
      <c r="A38" s="242"/>
      <c r="B38" s="245"/>
      <c r="C38" s="16" t="s">
        <v>17</v>
      </c>
      <c r="E38" s="50"/>
      <c r="F38" s="119"/>
      <c r="G38" s="83"/>
      <c r="H38" s="83"/>
      <c r="I38" s="119"/>
      <c r="J38" s="119"/>
      <c r="L38" s="50"/>
      <c r="M38" s="119"/>
      <c r="N38" s="83"/>
      <c r="O38" s="83"/>
      <c r="P38" s="119"/>
      <c r="Q38" s="119"/>
      <c r="S38" s="50"/>
      <c r="T38" s="119"/>
      <c r="U38" s="83"/>
      <c r="V38" s="83"/>
      <c r="W38" s="119"/>
      <c r="X38" s="119"/>
    </row>
    <row r="39" spans="1:25" ht="15.75" thickBot="1" x14ac:dyDescent="0.3">
      <c r="A39" s="242"/>
      <c r="B39" s="245"/>
      <c r="C39" s="33" t="s">
        <v>105</v>
      </c>
      <c r="E39" s="51"/>
      <c r="F39" s="46"/>
      <c r="G39" s="85"/>
      <c r="H39" s="85"/>
      <c r="I39" s="46"/>
      <c r="J39" s="46"/>
      <c r="L39" s="51"/>
      <c r="M39" s="46"/>
      <c r="N39" s="85"/>
      <c r="O39" s="85"/>
      <c r="P39" s="46"/>
      <c r="Q39" s="46"/>
      <c r="S39" s="51"/>
      <c r="T39" s="46"/>
      <c r="U39" s="85"/>
      <c r="V39" s="85"/>
      <c r="W39" s="46"/>
      <c r="X39" s="46"/>
    </row>
    <row r="40" spans="1:25" ht="15.75" thickBot="1" x14ac:dyDescent="0.3">
      <c r="A40" s="17"/>
      <c r="B40" s="14"/>
      <c r="C40" s="14"/>
      <c r="E40" s="247"/>
      <c r="F40" s="248"/>
      <c r="G40" s="248"/>
      <c r="H40" s="248"/>
      <c r="I40" s="248"/>
      <c r="J40" s="248"/>
      <c r="L40" s="247"/>
      <c r="M40" s="248"/>
      <c r="N40" s="248"/>
      <c r="O40" s="248"/>
      <c r="P40" s="248"/>
      <c r="Q40" s="248"/>
      <c r="S40" s="247"/>
      <c r="T40" s="248"/>
      <c r="U40" s="248"/>
      <c r="V40" s="248"/>
      <c r="W40" s="248"/>
      <c r="X40" s="248"/>
    </row>
    <row r="41" spans="1:25" ht="60" customHeight="1" thickBot="1" x14ac:dyDescent="0.3">
      <c r="A41" s="259" t="s">
        <v>21</v>
      </c>
      <c r="B41" s="244" t="s">
        <v>99</v>
      </c>
      <c r="C41" s="47"/>
      <c r="E41" s="117" t="s">
        <v>32</v>
      </c>
      <c r="F41" s="76" t="s">
        <v>20</v>
      </c>
      <c r="G41" s="262" t="s">
        <v>92</v>
      </c>
      <c r="H41" s="263"/>
      <c r="I41" s="75" t="s">
        <v>23</v>
      </c>
      <c r="J41" s="75" t="s">
        <v>110</v>
      </c>
      <c r="L41" s="117" t="s">
        <v>32</v>
      </c>
      <c r="M41" s="76" t="s">
        <v>20</v>
      </c>
      <c r="N41" s="262" t="s">
        <v>92</v>
      </c>
      <c r="O41" s="263"/>
      <c r="P41" s="75" t="s">
        <v>23</v>
      </c>
      <c r="Q41" s="75" t="s">
        <v>110</v>
      </c>
      <c r="S41" s="117" t="s">
        <v>32</v>
      </c>
      <c r="T41" s="76" t="s">
        <v>20</v>
      </c>
      <c r="U41" s="262" t="s">
        <v>92</v>
      </c>
      <c r="V41" s="263"/>
      <c r="W41" s="75" t="s">
        <v>23</v>
      </c>
      <c r="X41" s="75" t="s">
        <v>110</v>
      </c>
    </row>
    <row r="42" spans="1:25" ht="17.25" customHeight="1" x14ac:dyDescent="0.25">
      <c r="A42" s="260"/>
      <c r="B42" s="245"/>
      <c r="C42" s="43" t="s">
        <v>24</v>
      </c>
      <c r="E42" s="118" t="s">
        <v>164</v>
      </c>
      <c r="F42" s="74" t="s">
        <v>165</v>
      </c>
      <c r="G42" s="266" t="s">
        <v>173</v>
      </c>
      <c r="H42" s="267"/>
      <c r="I42" s="74">
        <v>1</v>
      </c>
      <c r="J42" s="82" t="s">
        <v>166</v>
      </c>
      <c r="L42" s="118" t="s">
        <v>164</v>
      </c>
      <c r="M42" s="74" t="s">
        <v>165</v>
      </c>
      <c r="N42" s="266" t="s">
        <v>173</v>
      </c>
      <c r="O42" s="267"/>
      <c r="P42" s="74">
        <v>1</v>
      </c>
      <c r="Q42" s="82" t="s">
        <v>166</v>
      </c>
      <c r="S42" s="118" t="s">
        <v>164</v>
      </c>
      <c r="T42" s="74" t="s">
        <v>165</v>
      </c>
      <c r="U42" s="266" t="s">
        <v>173</v>
      </c>
      <c r="V42" s="267"/>
      <c r="W42" s="74">
        <v>1</v>
      </c>
      <c r="X42" s="82" t="s">
        <v>166</v>
      </c>
    </row>
    <row r="43" spans="1:25" ht="17.25" customHeight="1" x14ac:dyDescent="0.25">
      <c r="A43" s="260"/>
      <c r="B43" s="245"/>
      <c r="C43" s="16" t="s">
        <v>24</v>
      </c>
      <c r="E43" s="115" t="s">
        <v>174</v>
      </c>
      <c r="F43" s="74" t="s">
        <v>165</v>
      </c>
      <c r="G43" s="264" t="s">
        <v>179</v>
      </c>
      <c r="H43" s="265"/>
      <c r="I43" s="114">
        <v>1</v>
      </c>
      <c r="J43" s="83" t="s">
        <v>172</v>
      </c>
      <c r="L43" s="115" t="s">
        <v>174</v>
      </c>
      <c r="M43" s="74" t="s">
        <v>165</v>
      </c>
      <c r="N43" s="264" t="s">
        <v>179</v>
      </c>
      <c r="O43" s="265"/>
      <c r="P43" s="114">
        <v>1</v>
      </c>
      <c r="Q43" s="83" t="s">
        <v>172</v>
      </c>
      <c r="S43" s="115" t="s">
        <v>174</v>
      </c>
      <c r="T43" s="74" t="s">
        <v>165</v>
      </c>
      <c r="U43" s="264" t="s">
        <v>179</v>
      </c>
      <c r="V43" s="265"/>
      <c r="W43" s="114">
        <v>1</v>
      </c>
      <c r="X43" s="83" t="s">
        <v>172</v>
      </c>
    </row>
    <row r="44" spans="1:25" x14ac:dyDescent="0.25">
      <c r="A44" s="260"/>
      <c r="B44" s="245"/>
      <c r="C44" s="16" t="s">
        <v>25</v>
      </c>
      <c r="E44" s="115"/>
      <c r="F44" s="119"/>
      <c r="G44" s="264"/>
      <c r="H44" s="265"/>
      <c r="I44" s="119"/>
      <c r="J44" s="83"/>
      <c r="L44" s="115"/>
      <c r="M44" s="119"/>
      <c r="N44" s="264"/>
      <c r="O44" s="265"/>
      <c r="P44" s="119"/>
      <c r="Q44" s="83"/>
      <c r="S44" s="115"/>
      <c r="T44" s="119"/>
      <c r="U44" s="264"/>
      <c r="V44" s="265"/>
      <c r="W44" s="119"/>
      <c r="X44" s="83"/>
    </row>
    <row r="45" spans="1:25" x14ac:dyDescent="0.25">
      <c r="A45" s="260"/>
      <c r="B45" s="245"/>
      <c r="C45" s="16" t="s">
        <v>22</v>
      </c>
      <c r="E45" s="115"/>
      <c r="F45" s="119"/>
      <c r="G45" s="264"/>
      <c r="H45" s="265"/>
      <c r="I45" s="119"/>
      <c r="J45" s="83"/>
      <c r="L45" s="115"/>
      <c r="M45" s="119"/>
      <c r="N45" s="264"/>
      <c r="O45" s="265"/>
      <c r="P45" s="119"/>
      <c r="Q45" s="83"/>
      <c r="S45" s="115"/>
      <c r="T45" s="119"/>
      <c r="U45" s="264"/>
      <c r="V45" s="265"/>
      <c r="W45" s="119"/>
      <c r="X45" s="83"/>
    </row>
    <row r="46" spans="1:25" x14ac:dyDescent="0.25">
      <c r="A46" s="260"/>
      <c r="B46" s="245"/>
      <c r="C46" s="16" t="s">
        <v>22</v>
      </c>
      <c r="E46" s="115" t="s">
        <v>180</v>
      </c>
      <c r="F46" s="119" t="s">
        <v>177</v>
      </c>
      <c r="G46" s="264" t="s">
        <v>178</v>
      </c>
      <c r="H46" s="265"/>
      <c r="I46" s="119">
        <v>1</v>
      </c>
      <c r="J46" s="88" t="s">
        <v>169</v>
      </c>
      <c r="L46" s="115" t="s">
        <v>180</v>
      </c>
      <c r="M46" s="119" t="s">
        <v>177</v>
      </c>
      <c r="N46" s="264" t="s">
        <v>178</v>
      </c>
      <c r="O46" s="265"/>
      <c r="P46" s="119">
        <v>1</v>
      </c>
      <c r="Q46" s="88" t="s">
        <v>169</v>
      </c>
      <c r="S46" s="115" t="s">
        <v>180</v>
      </c>
      <c r="T46" s="119" t="s">
        <v>177</v>
      </c>
      <c r="U46" s="264" t="s">
        <v>178</v>
      </c>
      <c r="V46" s="265"/>
      <c r="W46" s="119">
        <v>1</v>
      </c>
      <c r="X46" s="88" t="s">
        <v>169</v>
      </c>
    </row>
    <row r="47" spans="1:25" ht="15.75" thickBot="1" x14ac:dyDescent="0.3">
      <c r="A47" s="260"/>
      <c r="B47" s="245"/>
      <c r="C47" s="45" t="s">
        <v>22</v>
      </c>
      <c r="E47" s="115" t="s">
        <v>147</v>
      </c>
      <c r="F47" s="119" t="s">
        <v>148</v>
      </c>
      <c r="G47" s="264">
        <v>0.125</v>
      </c>
      <c r="H47" s="265"/>
      <c r="I47" s="119">
        <v>1</v>
      </c>
      <c r="J47" s="109" t="s">
        <v>181</v>
      </c>
      <c r="L47" s="115" t="s">
        <v>147</v>
      </c>
      <c r="M47" s="119" t="s">
        <v>148</v>
      </c>
      <c r="N47" s="264">
        <v>0.125</v>
      </c>
      <c r="O47" s="265"/>
      <c r="P47" s="119">
        <v>1</v>
      </c>
      <c r="Q47" s="109" t="s">
        <v>181</v>
      </c>
      <c r="S47" s="115" t="s">
        <v>147</v>
      </c>
      <c r="T47" s="119" t="s">
        <v>148</v>
      </c>
      <c r="U47" s="264">
        <v>0.125</v>
      </c>
      <c r="V47" s="265"/>
      <c r="W47" s="119">
        <v>1</v>
      </c>
      <c r="X47" s="109" t="s">
        <v>181</v>
      </c>
    </row>
    <row r="48" spans="1:25" s="34" customFormat="1" ht="15.75" thickBot="1" x14ac:dyDescent="0.3">
      <c r="A48" s="261"/>
      <c r="B48" s="246"/>
      <c r="C48" s="47" t="s">
        <v>69</v>
      </c>
      <c r="D48" s="22"/>
      <c r="E48" s="268"/>
      <c r="F48" s="268"/>
      <c r="G48" s="268"/>
      <c r="H48" s="263"/>
      <c r="I48" s="95"/>
      <c r="J48" s="48"/>
      <c r="K48" s="35"/>
      <c r="L48" s="268"/>
      <c r="M48" s="268"/>
      <c r="N48" s="268"/>
      <c r="O48" s="263"/>
      <c r="P48" s="95"/>
      <c r="Q48" s="48"/>
      <c r="R48" s="35"/>
      <c r="S48" s="268"/>
      <c r="T48" s="268"/>
      <c r="U48" s="268"/>
      <c r="V48" s="263"/>
      <c r="W48" s="95"/>
      <c r="X48" s="48"/>
      <c r="Y48" s="35"/>
    </row>
    <row r="49" spans="1:25" ht="15.75" thickBot="1" x14ac:dyDescent="0.3">
      <c r="A49" s="11"/>
      <c r="B49" s="14"/>
      <c r="C49" s="14"/>
      <c r="E49" s="237"/>
      <c r="F49" s="238"/>
      <c r="G49" s="238"/>
      <c r="H49" s="238"/>
      <c r="I49" s="238"/>
      <c r="J49" s="238"/>
      <c r="L49" s="237"/>
      <c r="M49" s="238"/>
      <c r="N49" s="238"/>
      <c r="O49" s="238"/>
      <c r="P49" s="238"/>
      <c r="Q49" s="238"/>
      <c r="S49" s="237"/>
      <c r="T49" s="238"/>
      <c r="U49" s="238"/>
      <c r="V49" s="238"/>
      <c r="W49" s="238"/>
      <c r="X49" s="238"/>
    </row>
    <row r="50" spans="1:25" ht="15.75" thickBot="1" x14ac:dyDescent="0.3">
      <c r="A50" s="269" t="s">
        <v>26</v>
      </c>
      <c r="B50" s="270" t="s">
        <v>100</v>
      </c>
      <c r="C50" s="52"/>
      <c r="D50" s="62"/>
      <c r="E50" s="312" t="s">
        <v>9</v>
      </c>
      <c r="F50" s="313"/>
      <c r="G50" s="314" t="s">
        <v>10</v>
      </c>
      <c r="H50" s="312"/>
      <c r="I50" s="313"/>
      <c r="J50" s="72" t="s">
        <v>109</v>
      </c>
      <c r="K50" s="62" t="s">
        <v>9</v>
      </c>
      <c r="L50" s="312" t="s">
        <v>9</v>
      </c>
      <c r="M50" s="313"/>
      <c r="N50" s="314" t="s">
        <v>10</v>
      </c>
      <c r="O50" s="312"/>
      <c r="P50" s="313"/>
      <c r="Q50" s="72" t="s">
        <v>109</v>
      </c>
      <c r="R50" s="62"/>
      <c r="S50" s="312" t="s">
        <v>9</v>
      </c>
      <c r="T50" s="313"/>
      <c r="U50" s="314" t="s">
        <v>10</v>
      </c>
      <c r="V50" s="312"/>
      <c r="W50" s="313"/>
      <c r="X50" s="72" t="s">
        <v>109</v>
      </c>
      <c r="Y50" s="62"/>
    </row>
    <row r="51" spans="1:25" ht="15" customHeight="1" x14ac:dyDescent="0.25">
      <c r="A51" s="269"/>
      <c r="B51" s="271"/>
      <c r="C51" s="15" t="s">
        <v>27</v>
      </c>
      <c r="E51" s="303" t="s">
        <v>176</v>
      </c>
      <c r="F51" s="304"/>
      <c r="G51" s="300" t="s">
        <v>150</v>
      </c>
      <c r="H51" s="301"/>
      <c r="I51" s="302"/>
      <c r="J51" s="89" t="s">
        <v>175</v>
      </c>
      <c r="L51" s="303" t="s">
        <v>176</v>
      </c>
      <c r="M51" s="304"/>
      <c r="N51" s="300" t="s">
        <v>150</v>
      </c>
      <c r="O51" s="301"/>
      <c r="P51" s="302"/>
      <c r="Q51" s="89" t="s">
        <v>175</v>
      </c>
      <c r="S51" s="303" t="s">
        <v>176</v>
      </c>
      <c r="T51" s="304"/>
      <c r="U51" s="300" t="s">
        <v>150</v>
      </c>
      <c r="V51" s="301"/>
      <c r="W51" s="302"/>
      <c r="X51" s="89" t="s">
        <v>175</v>
      </c>
    </row>
    <row r="52" spans="1:25" x14ac:dyDescent="0.25">
      <c r="A52" s="269"/>
      <c r="B52" s="271"/>
      <c r="C52" s="15" t="s">
        <v>28</v>
      </c>
      <c r="E52" s="307" t="s">
        <v>149</v>
      </c>
      <c r="F52" s="308"/>
      <c r="G52" s="309"/>
      <c r="H52" s="307"/>
      <c r="I52" s="308"/>
      <c r="J52" s="90"/>
      <c r="L52" s="307" t="s">
        <v>149</v>
      </c>
      <c r="M52" s="308"/>
      <c r="N52" s="309"/>
      <c r="O52" s="307"/>
      <c r="P52" s="308"/>
      <c r="Q52" s="90"/>
      <c r="S52" s="307" t="s">
        <v>149</v>
      </c>
      <c r="T52" s="308"/>
      <c r="U52" s="309"/>
      <c r="V52" s="307"/>
      <c r="W52" s="308"/>
      <c r="X52" s="90"/>
    </row>
    <row r="53" spans="1:25" ht="15.75" thickBot="1" x14ac:dyDescent="0.3">
      <c r="A53" s="269"/>
      <c r="B53" s="272"/>
      <c r="C53" s="53" t="s">
        <v>29</v>
      </c>
      <c r="E53" s="235" t="s">
        <v>149</v>
      </c>
      <c r="F53" s="236"/>
      <c r="G53" s="273"/>
      <c r="H53" s="235"/>
      <c r="I53" s="236"/>
      <c r="J53" s="81"/>
      <c r="L53" s="235" t="s">
        <v>149</v>
      </c>
      <c r="M53" s="236"/>
      <c r="N53" s="273"/>
      <c r="O53" s="235"/>
      <c r="P53" s="236"/>
      <c r="Q53" s="81"/>
      <c r="S53" s="235" t="s">
        <v>149</v>
      </c>
      <c r="T53" s="236"/>
      <c r="U53" s="273"/>
      <c r="V53" s="235"/>
      <c r="W53" s="236"/>
      <c r="X53" s="81"/>
    </row>
    <row r="54" spans="1:25" ht="15.75" thickBot="1" x14ac:dyDescent="0.3">
      <c r="A54" s="11"/>
      <c r="B54" s="14"/>
      <c r="C54" s="14"/>
      <c r="E54" s="210"/>
      <c r="F54" s="211"/>
      <c r="G54" s="211"/>
      <c r="H54" s="211"/>
      <c r="I54" s="211"/>
      <c r="J54" s="211"/>
      <c r="L54" s="210"/>
      <c r="M54" s="211"/>
      <c r="N54" s="211"/>
      <c r="O54" s="211"/>
      <c r="P54" s="211"/>
      <c r="Q54" s="211"/>
      <c r="S54" s="210"/>
      <c r="T54" s="211"/>
      <c r="U54" s="211"/>
      <c r="V54" s="211"/>
      <c r="W54" s="211"/>
      <c r="X54" s="211"/>
    </row>
    <row r="55" spans="1:25" ht="15" customHeight="1" thickBot="1" x14ac:dyDescent="0.3">
      <c r="A55" s="279" t="s">
        <v>30</v>
      </c>
      <c r="B55" s="281" t="s">
        <v>101</v>
      </c>
      <c r="C55" s="61"/>
      <c r="E55" s="120" t="s">
        <v>9</v>
      </c>
      <c r="F55" s="277" t="s">
        <v>84</v>
      </c>
      <c r="G55" s="278"/>
      <c r="H55" s="284" t="s">
        <v>412</v>
      </c>
      <c r="I55" s="284"/>
      <c r="J55" s="284"/>
      <c r="L55" s="120" t="s">
        <v>9</v>
      </c>
      <c r="M55" s="277" t="s">
        <v>84</v>
      </c>
      <c r="N55" s="278"/>
      <c r="O55" s="284" t="s">
        <v>412</v>
      </c>
      <c r="P55" s="284"/>
      <c r="Q55" s="284"/>
      <c r="S55" s="120" t="s">
        <v>9</v>
      </c>
      <c r="T55" s="277" t="s">
        <v>84</v>
      </c>
      <c r="U55" s="278"/>
      <c r="V55" s="284" t="s">
        <v>412</v>
      </c>
      <c r="W55" s="284"/>
      <c r="X55" s="284"/>
    </row>
    <row r="56" spans="1:25" ht="15" customHeight="1" x14ac:dyDescent="0.25">
      <c r="A56" s="280"/>
      <c r="B56" s="282"/>
      <c r="C56" s="60" t="s">
        <v>35</v>
      </c>
      <c r="E56" s="121"/>
      <c r="F56" s="274">
        <v>11.9</v>
      </c>
      <c r="G56" s="275"/>
      <c r="H56" s="276">
        <v>174</v>
      </c>
      <c r="I56" s="276"/>
      <c r="J56" s="276"/>
      <c r="L56" s="121"/>
      <c r="M56" s="274">
        <v>13</v>
      </c>
      <c r="N56" s="275"/>
      <c r="O56" s="276">
        <v>174</v>
      </c>
      <c r="P56" s="276"/>
      <c r="Q56" s="276"/>
      <c r="S56" s="121"/>
      <c r="T56" s="274">
        <v>11.4</v>
      </c>
      <c r="U56" s="275"/>
      <c r="V56" s="276">
        <v>174</v>
      </c>
      <c r="W56" s="276"/>
      <c r="X56" s="276"/>
    </row>
    <row r="57" spans="1:25" ht="15.75" thickBot="1" x14ac:dyDescent="0.3">
      <c r="A57" s="280"/>
      <c r="B57" s="283"/>
      <c r="C57" s="59" t="s">
        <v>34</v>
      </c>
      <c r="E57" s="116"/>
      <c r="F57" s="286" t="s">
        <v>149</v>
      </c>
      <c r="G57" s="222"/>
      <c r="H57" s="285"/>
      <c r="I57" s="285"/>
      <c r="J57" s="285"/>
      <c r="L57" s="116"/>
      <c r="M57" s="286" t="s">
        <v>149</v>
      </c>
      <c r="N57" s="222"/>
      <c r="O57" s="285"/>
      <c r="P57" s="285"/>
      <c r="Q57" s="285"/>
      <c r="S57" s="116"/>
      <c r="T57" s="286" t="s">
        <v>149</v>
      </c>
      <c r="U57" s="222"/>
      <c r="V57" s="285"/>
      <c r="W57" s="285"/>
      <c r="X57" s="285"/>
    </row>
    <row r="58" spans="1:25" ht="15.75" thickBot="1" x14ac:dyDescent="0.3">
      <c r="A58" s="11"/>
      <c r="B58" s="14"/>
      <c r="C58" s="14"/>
      <c r="E58" s="210"/>
      <c r="F58" s="211"/>
      <c r="G58" s="211"/>
      <c r="H58" s="211"/>
      <c r="I58" s="211"/>
      <c r="J58" s="211"/>
      <c r="L58" s="210"/>
      <c r="M58" s="211"/>
      <c r="N58" s="211"/>
      <c r="O58" s="211"/>
      <c r="P58" s="211"/>
      <c r="Q58" s="211"/>
      <c r="S58" s="210"/>
      <c r="T58" s="211"/>
      <c r="U58" s="211"/>
      <c r="V58" s="211"/>
      <c r="W58" s="211"/>
      <c r="X58" s="211"/>
    </row>
    <row r="59" spans="1:25" ht="15" customHeight="1" x14ac:dyDescent="0.25">
      <c r="A59" s="259" t="s">
        <v>31</v>
      </c>
      <c r="B59" s="287" t="s">
        <v>107</v>
      </c>
      <c r="C59" s="58" t="s">
        <v>36</v>
      </c>
      <c r="E59" s="290" t="s">
        <v>183</v>
      </c>
      <c r="F59" s="291"/>
      <c r="G59" s="291"/>
      <c r="H59" s="291"/>
      <c r="I59" s="291"/>
      <c r="J59" s="291"/>
      <c r="L59" s="290" t="s">
        <v>183</v>
      </c>
      <c r="M59" s="291"/>
      <c r="N59" s="291"/>
      <c r="O59" s="291"/>
      <c r="P59" s="291"/>
      <c r="Q59" s="291"/>
      <c r="S59" s="290" t="s">
        <v>183</v>
      </c>
      <c r="T59" s="291"/>
      <c r="U59" s="291"/>
      <c r="V59" s="291"/>
      <c r="W59" s="291"/>
      <c r="X59" s="291"/>
    </row>
    <row r="60" spans="1:25" x14ac:dyDescent="0.25">
      <c r="A60" s="260"/>
      <c r="B60" s="288"/>
      <c r="C60" s="18" t="s">
        <v>70</v>
      </c>
      <c r="E60" s="265" t="s">
        <v>210</v>
      </c>
      <c r="F60" s="292"/>
      <c r="G60" s="292"/>
      <c r="H60" s="292"/>
      <c r="I60" s="292"/>
      <c r="J60" s="292"/>
      <c r="L60" s="265" t="s">
        <v>194</v>
      </c>
      <c r="M60" s="292"/>
      <c r="N60" s="292"/>
      <c r="O60" s="292"/>
      <c r="P60" s="292"/>
      <c r="Q60" s="292"/>
      <c r="S60" s="265" t="s">
        <v>194</v>
      </c>
      <c r="T60" s="292"/>
      <c r="U60" s="292"/>
      <c r="V60" s="292"/>
      <c r="W60" s="292"/>
      <c r="X60" s="292"/>
    </row>
    <row r="61" spans="1:25" ht="45" customHeight="1" x14ac:dyDescent="0.25">
      <c r="A61" s="260"/>
      <c r="B61" s="288"/>
      <c r="C61" s="18" t="s">
        <v>42</v>
      </c>
      <c r="E61" s="265" t="s">
        <v>213</v>
      </c>
      <c r="F61" s="292"/>
      <c r="G61" s="292"/>
      <c r="H61" s="292"/>
      <c r="I61" s="292"/>
      <c r="J61" s="292"/>
      <c r="L61" s="265" t="s">
        <v>213</v>
      </c>
      <c r="M61" s="292"/>
      <c r="N61" s="292"/>
      <c r="O61" s="292"/>
      <c r="P61" s="292"/>
      <c r="Q61" s="292"/>
      <c r="S61" s="265" t="s">
        <v>213</v>
      </c>
      <c r="T61" s="292"/>
      <c r="U61" s="292"/>
      <c r="V61" s="292"/>
      <c r="W61" s="292"/>
      <c r="X61" s="292"/>
    </row>
    <row r="62" spans="1:25" s="129" customFormat="1" x14ac:dyDescent="0.25">
      <c r="A62" s="260"/>
      <c r="B62" s="288"/>
      <c r="C62" s="132" t="s">
        <v>43</v>
      </c>
      <c r="D62" s="124"/>
      <c r="E62" s="305" t="s">
        <v>212</v>
      </c>
      <c r="F62" s="306"/>
      <c r="G62" s="306"/>
      <c r="H62" s="306"/>
      <c r="I62" s="306"/>
      <c r="J62" s="306"/>
      <c r="K62" s="128"/>
      <c r="L62" s="305" t="s">
        <v>184</v>
      </c>
      <c r="M62" s="306"/>
      <c r="N62" s="306"/>
      <c r="O62" s="306"/>
      <c r="P62" s="306"/>
      <c r="Q62" s="306"/>
      <c r="R62" s="128"/>
      <c r="S62" s="305" t="s">
        <v>184</v>
      </c>
      <c r="T62" s="306"/>
      <c r="U62" s="306"/>
      <c r="V62" s="306"/>
      <c r="W62" s="306"/>
      <c r="X62" s="306"/>
      <c r="Y62" s="124"/>
    </row>
    <row r="63" spans="1:25" x14ac:dyDescent="0.25">
      <c r="A63" s="260"/>
      <c r="B63" s="288"/>
      <c r="C63" s="16" t="s">
        <v>44</v>
      </c>
      <c r="E63" s="295" t="s">
        <v>152</v>
      </c>
      <c r="F63" s="296"/>
      <c r="G63" s="296"/>
      <c r="H63" s="296"/>
      <c r="I63" s="296"/>
      <c r="J63" s="296"/>
      <c r="L63" s="295" t="s">
        <v>152</v>
      </c>
      <c r="M63" s="296"/>
      <c r="N63" s="296"/>
      <c r="O63" s="296"/>
      <c r="P63" s="296"/>
      <c r="Q63" s="296"/>
      <c r="S63" s="295" t="s">
        <v>182</v>
      </c>
      <c r="T63" s="296"/>
      <c r="U63" s="296"/>
      <c r="V63" s="296"/>
      <c r="W63" s="296"/>
      <c r="X63" s="296"/>
    </row>
    <row r="64" spans="1:25" x14ac:dyDescent="0.25">
      <c r="A64" s="260"/>
      <c r="B64" s="288"/>
      <c r="C64" s="16" t="s">
        <v>45</v>
      </c>
      <c r="E64" s="299" t="s">
        <v>191</v>
      </c>
      <c r="F64" s="296"/>
      <c r="G64" s="296"/>
      <c r="H64" s="296"/>
      <c r="I64" s="296"/>
      <c r="J64" s="296"/>
      <c r="L64" s="299" t="s">
        <v>191</v>
      </c>
      <c r="M64" s="296"/>
      <c r="N64" s="296"/>
      <c r="O64" s="296"/>
      <c r="P64" s="296"/>
      <c r="Q64" s="296"/>
      <c r="S64" s="299" t="s">
        <v>191</v>
      </c>
      <c r="T64" s="296"/>
      <c r="U64" s="296"/>
      <c r="V64" s="296"/>
      <c r="W64" s="296"/>
      <c r="X64" s="296"/>
    </row>
    <row r="65" spans="1:25" x14ac:dyDescent="0.25">
      <c r="A65" s="260"/>
      <c r="B65" s="288"/>
      <c r="C65" s="18" t="s">
        <v>46</v>
      </c>
      <c r="E65" s="295" t="s">
        <v>154</v>
      </c>
      <c r="F65" s="296"/>
      <c r="G65" s="296"/>
      <c r="H65" s="296"/>
      <c r="I65" s="296"/>
      <c r="J65" s="296"/>
      <c r="L65" s="295" t="s">
        <v>154</v>
      </c>
      <c r="M65" s="296"/>
      <c r="N65" s="296"/>
      <c r="O65" s="296"/>
      <c r="P65" s="296"/>
      <c r="Q65" s="296"/>
      <c r="S65" s="295" t="s">
        <v>154</v>
      </c>
      <c r="T65" s="296"/>
      <c r="U65" s="296"/>
      <c r="V65" s="296"/>
      <c r="W65" s="296"/>
      <c r="X65" s="296"/>
    </row>
    <row r="66" spans="1:25" x14ac:dyDescent="0.25">
      <c r="A66" s="260"/>
      <c r="B66" s="288"/>
      <c r="C66" s="16" t="s">
        <v>47</v>
      </c>
      <c r="E66" s="265"/>
      <c r="F66" s="292"/>
      <c r="G66" s="292"/>
      <c r="H66" s="292"/>
      <c r="I66" s="292"/>
      <c r="J66" s="292"/>
      <c r="L66" s="265"/>
      <c r="M66" s="292"/>
      <c r="N66" s="292"/>
      <c r="O66" s="292"/>
      <c r="P66" s="292"/>
      <c r="Q66" s="292"/>
      <c r="S66" s="265"/>
      <c r="T66" s="292"/>
      <c r="U66" s="292"/>
      <c r="V66" s="292"/>
      <c r="W66" s="292"/>
      <c r="X66" s="292"/>
    </row>
    <row r="67" spans="1:25" ht="15" customHeight="1" x14ac:dyDescent="0.25">
      <c r="A67" s="260"/>
      <c r="B67" s="288"/>
      <c r="C67" s="293" t="s">
        <v>71</v>
      </c>
      <c r="D67" s="41"/>
      <c r="E67" s="295"/>
      <c r="F67" s="296"/>
      <c r="G67" s="296"/>
      <c r="H67" s="296"/>
      <c r="I67" s="296"/>
      <c r="J67" s="296"/>
      <c r="K67" s="36"/>
      <c r="L67" s="295"/>
      <c r="M67" s="296"/>
      <c r="N67" s="296"/>
      <c r="O67" s="296"/>
      <c r="P67" s="296"/>
      <c r="Q67" s="296"/>
      <c r="R67" s="36"/>
      <c r="S67" s="295"/>
      <c r="T67" s="296"/>
      <c r="U67" s="296"/>
      <c r="V67" s="296"/>
      <c r="W67" s="296"/>
      <c r="X67" s="296"/>
      <c r="Y67" s="36"/>
    </row>
    <row r="68" spans="1:25" ht="15.75" thickBot="1" x14ac:dyDescent="0.3">
      <c r="A68" s="261"/>
      <c r="B68" s="289"/>
      <c r="C68" s="294"/>
      <c r="D68" s="41"/>
      <c r="E68" s="297"/>
      <c r="F68" s="298"/>
      <c r="G68" s="298"/>
      <c r="H68" s="298"/>
      <c r="I68" s="298"/>
      <c r="J68" s="298"/>
      <c r="K68" s="36"/>
      <c r="L68" s="297"/>
      <c r="M68" s="298"/>
      <c r="N68" s="298"/>
      <c r="O68" s="298"/>
      <c r="P68" s="298"/>
      <c r="Q68" s="298"/>
      <c r="R68" s="36"/>
      <c r="S68" s="297"/>
      <c r="T68" s="298"/>
      <c r="U68" s="298"/>
      <c r="V68" s="298"/>
      <c r="W68" s="298"/>
      <c r="X68" s="298"/>
      <c r="Y68" s="36"/>
    </row>
    <row r="72" spans="1:25" ht="14.65" customHeight="1" x14ac:dyDescent="0.25">
      <c r="F72" s="311" t="s">
        <v>159</v>
      </c>
      <c r="G72" s="311"/>
      <c r="H72" s="311"/>
      <c r="I72" s="311"/>
    </row>
    <row r="73" spans="1:25" x14ac:dyDescent="0.25">
      <c r="F73" s="311"/>
      <c r="G73" s="311"/>
      <c r="H73" s="311"/>
      <c r="I73" s="311"/>
    </row>
    <row r="74" spans="1:25" x14ac:dyDescent="0.25">
      <c r="F74" s="311"/>
      <c r="G74" s="311"/>
      <c r="H74" s="311"/>
      <c r="I74" s="311"/>
    </row>
    <row r="75" spans="1:25" x14ac:dyDescent="0.25">
      <c r="F75" s="311"/>
      <c r="G75" s="311"/>
      <c r="H75" s="311"/>
      <c r="I75" s="311"/>
    </row>
    <row r="76" spans="1:25" x14ac:dyDescent="0.25">
      <c r="F76" s="311"/>
      <c r="G76" s="311"/>
      <c r="H76" s="311"/>
      <c r="I76" s="311"/>
    </row>
    <row r="77" spans="1:25" x14ac:dyDescent="0.25">
      <c r="F77" s="311"/>
      <c r="G77" s="311"/>
      <c r="H77" s="311"/>
      <c r="I77" s="311"/>
    </row>
    <row r="78" spans="1:25" x14ac:dyDescent="0.25">
      <c r="F78" s="311"/>
      <c r="G78" s="311"/>
      <c r="H78" s="311"/>
      <c r="I78" s="311"/>
    </row>
    <row r="80" spans="1:25" x14ac:dyDescent="0.25">
      <c r="F80" s="310" t="s">
        <v>190</v>
      </c>
      <c r="G80" s="310"/>
      <c r="H80" s="310"/>
      <c r="I80" s="310"/>
    </row>
    <row r="81" spans="6:9" x14ac:dyDescent="0.25">
      <c r="F81" s="310"/>
      <c r="G81" s="310"/>
      <c r="H81" s="310"/>
      <c r="I81" s="310"/>
    </row>
    <row r="82" spans="6:9" x14ac:dyDescent="0.25">
      <c r="F82" s="310"/>
      <c r="G82" s="310"/>
      <c r="H82" s="310"/>
      <c r="I82" s="310"/>
    </row>
    <row r="83" spans="6:9" x14ac:dyDescent="0.25">
      <c r="F83" s="310"/>
      <c r="G83" s="310"/>
      <c r="H83" s="310"/>
      <c r="I83" s="310"/>
    </row>
  </sheetData>
  <mergeCells count="186">
    <mergeCell ref="F80:I83"/>
    <mergeCell ref="F72:I78"/>
    <mergeCell ref="N51:P51"/>
    <mergeCell ref="S51:T51"/>
    <mergeCell ref="U51:W51"/>
    <mergeCell ref="S50:T50"/>
    <mergeCell ref="U50:W50"/>
    <mergeCell ref="E50:F50"/>
    <mergeCell ref="G50:I50"/>
    <mergeCell ref="L50:M50"/>
    <mergeCell ref="N50:P50"/>
    <mergeCell ref="L52:M52"/>
    <mergeCell ref="N52:P52"/>
    <mergeCell ref="S52:T52"/>
    <mergeCell ref="U52:W52"/>
    <mergeCell ref="L53:M53"/>
    <mergeCell ref="N53:P53"/>
    <mergeCell ref="G47:H47"/>
    <mergeCell ref="G51:I51"/>
    <mergeCell ref="L51:M51"/>
    <mergeCell ref="L62:Q62"/>
    <mergeCell ref="S62:X62"/>
    <mergeCell ref="F57:G57"/>
    <mergeCell ref="E65:J65"/>
    <mergeCell ref="L65:Q65"/>
    <mergeCell ref="S65:X65"/>
    <mergeCell ref="E62:J62"/>
    <mergeCell ref="E49:J49"/>
    <mergeCell ref="L49:Q49"/>
    <mergeCell ref="S49:X49"/>
    <mergeCell ref="S53:T53"/>
    <mergeCell ref="U53:W53"/>
    <mergeCell ref="V56:X56"/>
    <mergeCell ref="V55:X55"/>
    <mergeCell ref="S48:V48"/>
    <mergeCell ref="E51:F51"/>
    <mergeCell ref="E58:J58"/>
    <mergeCell ref="L58:Q58"/>
    <mergeCell ref="S58:X58"/>
    <mergeCell ref="E52:F52"/>
    <mergeCell ref="G52:I52"/>
    <mergeCell ref="A59:A68"/>
    <mergeCell ref="B59:B68"/>
    <mergeCell ref="E59:J59"/>
    <mergeCell ref="L59:Q59"/>
    <mergeCell ref="S59:X59"/>
    <mergeCell ref="E61:J61"/>
    <mergeCell ref="L61:Q61"/>
    <mergeCell ref="S61:X61"/>
    <mergeCell ref="C67:C68"/>
    <mergeCell ref="E60:J60"/>
    <mergeCell ref="L60:Q60"/>
    <mergeCell ref="S60:X60"/>
    <mergeCell ref="E67:J68"/>
    <mergeCell ref="L67:Q68"/>
    <mergeCell ref="S67:X68"/>
    <mergeCell ref="E66:J66"/>
    <mergeCell ref="L66:Q66"/>
    <mergeCell ref="S66:X66"/>
    <mergeCell ref="E64:J64"/>
    <mergeCell ref="L64:Q64"/>
    <mergeCell ref="S64:X64"/>
    <mergeCell ref="E63:J63"/>
    <mergeCell ref="L63:Q63"/>
    <mergeCell ref="S63:X63"/>
    <mergeCell ref="A50:A53"/>
    <mergeCell ref="B50:B53"/>
    <mergeCell ref="E53:F53"/>
    <mergeCell ref="G53:I53"/>
    <mergeCell ref="F56:G56"/>
    <mergeCell ref="H56:J56"/>
    <mergeCell ref="M56:N56"/>
    <mergeCell ref="O56:Q56"/>
    <mergeCell ref="T56:U56"/>
    <mergeCell ref="T55:U55"/>
    <mergeCell ref="A55:A57"/>
    <mergeCell ref="B55:B57"/>
    <mergeCell ref="F55:G55"/>
    <mergeCell ref="H55:J55"/>
    <mergeCell ref="M55:N55"/>
    <mergeCell ref="O55:Q55"/>
    <mergeCell ref="E54:J54"/>
    <mergeCell ref="L54:Q54"/>
    <mergeCell ref="S54:X54"/>
    <mergeCell ref="H57:J57"/>
    <mergeCell ref="M57:N57"/>
    <mergeCell ref="O57:Q57"/>
    <mergeCell ref="T57:U57"/>
    <mergeCell ref="V57:X57"/>
    <mergeCell ref="A41:A48"/>
    <mergeCell ref="B41:B48"/>
    <mergeCell ref="G41:H41"/>
    <mergeCell ref="N41:O41"/>
    <mergeCell ref="U41:V41"/>
    <mergeCell ref="G43:H43"/>
    <mergeCell ref="N43:O43"/>
    <mergeCell ref="U43:V43"/>
    <mergeCell ref="G42:H42"/>
    <mergeCell ref="N42:O42"/>
    <mergeCell ref="U42:V42"/>
    <mergeCell ref="G45:H45"/>
    <mergeCell ref="N45:O45"/>
    <mergeCell ref="U45:V45"/>
    <mergeCell ref="G44:H44"/>
    <mergeCell ref="N44:O44"/>
    <mergeCell ref="U44:V44"/>
    <mergeCell ref="N47:O47"/>
    <mergeCell ref="U47:V47"/>
    <mergeCell ref="G46:H46"/>
    <mergeCell ref="N46:O46"/>
    <mergeCell ref="U46:V46"/>
    <mergeCell ref="E48:H48"/>
    <mergeCell ref="L48:O48"/>
    <mergeCell ref="A21:A31"/>
    <mergeCell ref="B21:B31"/>
    <mergeCell ref="E40:J40"/>
    <mergeCell ref="L40:Q40"/>
    <mergeCell ref="S40:X40"/>
    <mergeCell ref="E22:E23"/>
    <mergeCell ref="J22:J23"/>
    <mergeCell ref="H22:H23"/>
    <mergeCell ref="G22:G23"/>
    <mergeCell ref="A32:A39"/>
    <mergeCell ref="B32:B39"/>
    <mergeCell ref="S22:S23"/>
    <mergeCell ref="U22:U23"/>
    <mergeCell ref="V22:V23"/>
    <mergeCell ref="X22:X23"/>
    <mergeCell ref="L22:L23"/>
    <mergeCell ref="N22:N23"/>
    <mergeCell ref="O22:O23"/>
    <mergeCell ref="Q22:Q23"/>
    <mergeCell ref="F22:F23"/>
    <mergeCell ref="I22:I23"/>
    <mergeCell ref="M22:M23"/>
    <mergeCell ref="P22:P23"/>
    <mergeCell ref="W22:W23"/>
    <mergeCell ref="A17:A19"/>
    <mergeCell ref="B17:B19"/>
    <mergeCell ref="E17:J17"/>
    <mergeCell ref="L17:Q17"/>
    <mergeCell ref="S17:X17"/>
    <mergeCell ref="E19:I19"/>
    <mergeCell ref="L19:P19"/>
    <mergeCell ref="S19:W19"/>
    <mergeCell ref="E20:J20"/>
    <mergeCell ref="L20:Q20"/>
    <mergeCell ref="S20:X20"/>
    <mergeCell ref="E18:J18"/>
    <mergeCell ref="L18:Q18"/>
    <mergeCell ref="S18:X18"/>
    <mergeCell ref="L13:P13"/>
    <mergeCell ref="S13:W13"/>
    <mergeCell ref="E15:I15"/>
    <mergeCell ref="L15:P15"/>
    <mergeCell ref="S15:W15"/>
    <mergeCell ref="E16:J16"/>
    <mergeCell ref="L16:Q16"/>
    <mergeCell ref="S16:X16"/>
    <mergeCell ref="E14:I14"/>
    <mergeCell ref="L14:P14"/>
    <mergeCell ref="S14:W14"/>
    <mergeCell ref="T22:T23"/>
    <mergeCell ref="E7:J7"/>
    <mergeCell ref="L7:Q7"/>
    <mergeCell ref="S7:X7"/>
    <mergeCell ref="E9:J9"/>
    <mergeCell ref="L9:Q9"/>
    <mergeCell ref="S9:X9"/>
    <mergeCell ref="A8:A11"/>
    <mergeCell ref="B8:B11"/>
    <mergeCell ref="E8:J8"/>
    <mergeCell ref="L8:Q8"/>
    <mergeCell ref="S8:X8"/>
    <mergeCell ref="E10:J10"/>
    <mergeCell ref="L10:Q10"/>
    <mergeCell ref="S10:X10"/>
    <mergeCell ref="E12:J12"/>
    <mergeCell ref="L12:Q12"/>
    <mergeCell ref="S12:X12"/>
    <mergeCell ref="E11:J11"/>
    <mergeCell ref="L11:Q11"/>
    <mergeCell ref="S11:X11"/>
    <mergeCell ref="A13:A15"/>
    <mergeCell ref="B13:B15"/>
    <mergeCell ref="E13:I13"/>
  </mergeCells>
  <pageMargins left="0.7" right="0.7" top="0.78740157499999996" bottom="0.78740157499999996" header="0.3" footer="0.3"/>
  <pageSetup paperSize="9" orientation="portrait" horizontalDpi="4294967294" vertic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zoomScale="60" zoomScaleNormal="60" workbookViewId="0">
      <pane xSplit="3" topLeftCell="D1" activePane="topRight" state="frozen"/>
      <selection pane="topRight" activeCell="D29" sqref="D29"/>
    </sheetView>
  </sheetViews>
  <sheetFormatPr baseColWidth="10" defaultColWidth="11.42578125" defaultRowHeight="15" x14ac:dyDescent="0.25"/>
  <cols>
    <col min="1" max="1" width="11.42578125" style="4"/>
    <col min="2" max="2" width="44.28515625" style="4" customWidth="1"/>
    <col min="3" max="3" width="51.5703125" style="4" bestFit="1" customWidth="1"/>
    <col min="4" max="4" width="11.42578125" style="4"/>
    <col min="5" max="5" width="35" style="4" bestFit="1" customWidth="1"/>
    <col min="6" max="7" width="11.42578125" style="4"/>
    <col min="8" max="8" width="25.7109375" style="4" bestFit="1" customWidth="1"/>
    <col min="9" max="9" width="28.28515625" style="4" bestFit="1" customWidth="1"/>
    <col min="10" max="10" width="1.7109375" style="22" customWidth="1"/>
    <col min="11" max="11" width="8.5703125" style="4" bestFit="1" customWidth="1"/>
    <col min="12" max="12" width="35" style="4" bestFit="1" customWidth="1"/>
    <col min="13" max="14" width="9.28515625" style="4" customWidth="1"/>
    <col min="15" max="15" width="25.7109375" style="4" bestFit="1" customWidth="1"/>
    <col min="16" max="16" width="28.28515625" style="4" bestFit="1" customWidth="1"/>
    <col min="17" max="17" width="1.7109375" style="22" customWidth="1"/>
    <col min="18" max="16384" width="11.42578125" style="4"/>
  </cols>
  <sheetData>
    <row r="1" spans="1:17" ht="15.75" thickBot="1" x14ac:dyDescent="0.3"/>
    <row r="2" spans="1:17" ht="15.75" thickBot="1" x14ac:dyDescent="0.3">
      <c r="A2" s="20"/>
      <c r="B2" s="21" t="s">
        <v>40</v>
      </c>
      <c r="C2" s="21" t="s">
        <v>41</v>
      </c>
      <c r="D2" s="324" t="s">
        <v>48</v>
      </c>
      <c r="E2" s="198"/>
      <c r="F2" s="198"/>
      <c r="G2" s="198"/>
      <c r="H2" s="198"/>
      <c r="I2" s="198"/>
      <c r="J2" s="63"/>
      <c r="K2" s="197" t="s">
        <v>49</v>
      </c>
      <c r="L2" s="198"/>
      <c r="M2" s="198"/>
      <c r="N2" s="198"/>
      <c r="O2" s="198"/>
      <c r="P2" s="198"/>
      <c r="Q2" s="63"/>
    </row>
    <row r="3" spans="1:17" ht="15" customHeight="1" x14ac:dyDescent="0.25">
      <c r="A3" s="201" t="s">
        <v>39</v>
      </c>
      <c r="B3" s="204" t="s">
        <v>38</v>
      </c>
      <c r="C3" s="39" t="s">
        <v>2</v>
      </c>
      <c r="D3" s="207" t="s">
        <v>117</v>
      </c>
      <c r="E3" s="208"/>
      <c r="F3" s="208"/>
      <c r="G3" s="208"/>
      <c r="H3" s="208"/>
      <c r="I3" s="208"/>
      <c r="J3" s="23"/>
      <c r="K3" s="207" t="s">
        <v>134</v>
      </c>
      <c r="L3" s="208"/>
      <c r="M3" s="208"/>
      <c r="N3" s="208"/>
      <c r="O3" s="208"/>
      <c r="P3" s="208"/>
      <c r="Q3" s="23"/>
    </row>
    <row r="4" spans="1:17" x14ac:dyDescent="0.25">
      <c r="A4" s="202"/>
      <c r="B4" s="205"/>
      <c r="C4" s="40" t="s">
        <v>3</v>
      </c>
      <c r="D4" s="199" t="s">
        <v>118</v>
      </c>
      <c r="E4" s="200"/>
      <c r="F4" s="200"/>
      <c r="G4" s="200"/>
      <c r="H4" s="200"/>
      <c r="I4" s="200"/>
      <c r="J4" s="23"/>
      <c r="K4" s="199" t="s">
        <v>118</v>
      </c>
      <c r="L4" s="200"/>
      <c r="M4" s="200"/>
      <c r="N4" s="200"/>
      <c r="O4" s="200"/>
      <c r="P4" s="200"/>
      <c r="Q4" s="23"/>
    </row>
    <row r="5" spans="1:17" x14ac:dyDescent="0.25">
      <c r="A5" s="202"/>
      <c r="B5" s="205"/>
      <c r="C5" s="65" t="s">
        <v>102</v>
      </c>
      <c r="D5" s="209" t="s">
        <v>119</v>
      </c>
      <c r="E5" s="209"/>
      <c r="F5" s="209"/>
      <c r="G5" s="209"/>
      <c r="H5" s="209"/>
      <c r="I5" s="209"/>
      <c r="J5" s="8"/>
      <c r="K5" s="209" t="s">
        <v>119</v>
      </c>
      <c r="L5" s="209"/>
      <c r="M5" s="209"/>
      <c r="N5" s="209"/>
      <c r="O5" s="209"/>
      <c r="P5" s="209"/>
      <c r="Q5" s="67"/>
    </row>
    <row r="6" spans="1:17" ht="15.75" thickBot="1" x14ac:dyDescent="0.3">
      <c r="A6" s="203"/>
      <c r="B6" s="206"/>
      <c r="C6" s="57" t="s">
        <v>67</v>
      </c>
      <c r="D6" s="212"/>
      <c r="E6" s="213"/>
      <c r="F6" s="213"/>
      <c r="G6" s="213"/>
      <c r="H6" s="213"/>
      <c r="I6" s="214"/>
      <c r="J6" s="23"/>
      <c r="K6" s="212"/>
      <c r="L6" s="213"/>
      <c r="M6" s="213"/>
      <c r="N6" s="213"/>
      <c r="O6" s="213"/>
      <c r="P6" s="214"/>
      <c r="Q6" s="23"/>
    </row>
    <row r="7" spans="1:17" ht="15.75" thickBot="1" x14ac:dyDescent="0.3">
      <c r="A7" s="10"/>
      <c r="B7" s="12"/>
      <c r="C7" s="56"/>
      <c r="D7" s="210"/>
      <c r="E7" s="211"/>
      <c r="F7" s="211"/>
      <c r="G7" s="211"/>
      <c r="H7" s="211"/>
      <c r="I7" s="211"/>
      <c r="K7" s="210"/>
      <c r="L7" s="211"/>
      <c r="M7" s="211"/>
      <c r="N7" s="211"/>
      <c r="O7" s="211"/>
      <c r="P7" s="211"/>
    </row>
    <row r="8" spans="1:17" ht="15" customHeight="1" x14ac:dyDescent="0.25">
      <c r="A8" s="215" t="s">
        <v>37</v>
      </c>
      <c r="B8" s="216" t="s">
        <v>96</v>
      </c>
      <c r="C8" s="54" t="s">
        <v>5</v>
      </c>
      <c r="D8" s="217" t="s">
        <v>120</v>
      </c>
      <c r="E8" s="218"/>
      <c r="F8" s="218"/>
      <c r="G8" s="218"/>
      <c r="H8" s="219"/>
      <c r="I8" s="92" t="s">
        <v>127</v>
      </c>
      <c r="K8" s="217" t="s">
        <v>120</v>
      </c>
      <c r="L8" s="218"/>
      <c r="M8" s="218"/>
      <c r="N8" s="218"/>
      <c r="O8" s="219"/>
      <c r="P8" s="92" t="s">
        <v>135</v>
      </c>
    </row>
    <row r="9" spans="1:17" x14ac:dyDescent="0.25">
      <c r="A9" s="215"/>
      <c r="B9" s="216"/>
      <c r="C9" s="13" t="s">
        <v>6</v>
      </c>
      <c r="D9" s="223" t="s">
        <v>122</v>
      </c>
      <c r="E9" s="224"/>
      <c r="F9" s="224"/>
      <c r="G9" s="224"/>
      <c r="H9" s="225"/>
      <c r="I9" s="80" t="s">
        <v>129</v>
      </c>
      <c r="K9" s="223" t="s">
        <v>122</v>
      </c>
      <c r="L9" s="224"/>
      <c r="M9" s="224"/>
      <c r="N9" s="224"/>
      <c r="O9" s="225"/>
      <c r="P9" s="80" t="s">
        <v>137</v>
      </c>
    </row>
    <row r="10" spans="1:17" ht="15.75" thickBot="1" x14ac:dyDescent="0.3">
      <c r="A10" s="215"/>
      <c r="B10" s="216"/>
      <c r="C10" s="55" t="s">
        <v>7</v>
      </c>
      <c r="D10" s="220" t="s">
        <v>121</v>
      </c>
      <c r="E10" s="221"/>
      <c r="F10" s="221"/>
      <c r="G10" s="221"/>
      <c r="H10" s="222"/>
      <c r="I10" s="80" t="s">
        <v>128</v>
      </c>
      <c r="K10" s="220" t="s">
        <v>121</v>
      </c>
      <c r="L10" s="221"/>
      <c r="M10" s="221"/>
      <c r="N10" s="221"/>
      <c r="O10" s="222"/>
      <c r="P10" s="80" t="s">
        <v>137</v>
      </c>
    </row>
    <row r="11" spans="1:17" ht="15.75" thickBot="1" x14ac:dyDescent="0.3">
      <c r="A11" s="11"/>
      <c r="B11" s="14"/>
      <c r="C11" s="14"/>
      <c r="D11" s="210"/>
      <c r="E11" s="211"/>
      <c r="F11" s="211"/>
      <c r="G11" s="211"/>
      <c r="H11" s="211"/>
      <c r="I11" s="211"/>
      <c r="K11" s="210"/>
      <c r="L11" s="211"/>
      <c r="M11" s="211"/>
      <c r="N11" s="211"/>
      <c r="O11" s="211"/>
      <c r="P11" s="211"/>
    </row>
    <row r="12" spans="1:17" ht="15" customHeight="1" x14ac:dyDescent="0.25">
      <c r="A12" s="226" t="s">
        <v>8</v>
      </c>
      <c r="B12" s="229" t="s">
        <v>97</v>
      </c>
      <c r="C12" s="52" t="s">
        <v>68</v>
      </c>
      <c r="D12" s="232" t="s">
        <v>131</v>
      </c>
      <c r="E12" s="233"/>
      <c r="F12" s="233"/>
      <c r="G12" s="233"/>
      <c r="H12" s="233"/>
      <c r="I12" s="233"/>
      <c r="K12" s="232" t="s">
        <v>138</v>
      </c>
      <c r="L12" s="233"/>
      <c r="M12" s="233"/>
      <c r="N12" s="233"/>
      <c r="O12" s="233"/>
      <c r="P12" s="233"/>
    </row>
    <row r="13" spans="1:17" x14ac:dyDescent="0.25">
      <c r="A13" s="227"/>
      <c r="B13" s="230"/>
      <c r="C13" s="15" t="s">
        <v>75</v>
      </c>
      <c r="D13" s="239" t="s">
        <v>132</v>
      </c>
      <c r="E13" s="240"/>
      <c r="F13" s="240"/>
      <c r="G13" s="240"/>
      <c r="H13" s="240"/>
      <c r="I13" s="240"/>
      <c r="K13" s="239" t="s">
        <v>139</v>
      </c>
      <c r="L13" s="240"/>
      <c r="M13" s="240"/>
      <c r="N13" s="240"/>
      <c r="O13" s="240"/>
      <c r="P13" s="240"/>
    </row>
    <row r="14" spans="1:17" ht="15.75" thickBot="1" x14ac:dyDescent="0.3">
      <c r="A14" s="228"/>
      <c r="B14" s="231"/>
      <c r="C14" s="53" t="s">
        <v>10</v>
      </c>
      <c r="D14" s="234" t="s">
        <v>123</v>
      </c>
      <c r="E14" s="235"/>
      <c r="F14" s="235"/>
      <c r="G14" s="235"/>
      <c r="H14" s="236"/>
      <c r="I14" s="81" t="s">
        <v>125</v>
      </c>
      <c r="K14" s="234" t="s">
        <v>123</v>
      </c>
      <c r="L14" s="235"/>
      <c r="M14" s="235"/>
      <c r="N14" s="235"/>
      <c r="O14" s="236"/>
      <c r="P14" s="81" t="s">
        <v>136</v>
      </c>
    </row>
    <row r="15" spans="1:17" ht="15.75" thickBot="1" x14ac:dyDescent="0.3">
      <c r="A15" s="11"/>
      <c r="B15" s="14"/>
      <c r="C15" s="14"/>
      <c r="D15" s="237"/>
      <c r="E15" s="238"/>
      <c r="F15" s="238"/>
      <c r="G15" s="238"/>
      <c r="H15" s="238"/>
      <c r="I15" s="238"/>
      <c r="K15" s="237"/>
      <c r="L15" s="238"/>
      <c r="M15" s="238"/>
      <c r="N15" s="238"/>
      <c r="O15" s="238"/>
      <c r="P15" s="238"/>
    </row>
    <row r="16" spans="1:17" ht="15.75" customHeight="1" thickBot="1" x14ac:dyDescent="0.3">
      <c r="A16" s="321" t="s">
        <v>11</v>
      </c>
      <c r="B16" s="244" t="s">
        <v>98</v>
      </c>
      <c r="C16" s="47" t="s">
        <v>90</v>
      </c>
      <c r="D16" s="148" t="s">
        <v>32</v>
      </c>
      <c r="E16" s="94" t="s">
        <v>72</v>
      </c>
      <c r="F16" s="94" t="s">
        <v>20</v>
      </c>
      <c r="G16" s="146" t="s">
        <v>109</v>
      </c>
      <c r="H16" s="95" t="s">
        <v>93</v>
      </c>
      <c r="I16" s="95" t="s">
        <v>23</v>
      </c>
      <c r="K16" s="93" t="s">
        <v>32</v>
      </c>
      <c r="L16" s="94" t="s">
        <v>72</v>
      </c>
      <c r="M16" s="94" t="s">
        <v>20</v>
      </c>
      <c r="N16" s="94" t="s">
        <v>109</v>
      </c>
      <c r="O16" s="95" t="s">
        <v>93</v>
      </c>
      <c r="P16" s="95" t="s">
        <v>23</v>
      </c>
    </row>
    <row r="17" spans="1:16" ht="15" customHeight="1" x14ac:dyDescent="0.25">
      <c r="A17" s="322"/>
      <c r="B17" s="245"/>
      <c r="C17" s="58" t="s">
        <v>12</v>
      </c>
      <c r="D17" s="149" t="s">
        <v>215</v>
      </c>
      <c r="E17" s="44" t="s">
        <v>214</v>
      </c>
      <c r="F17" s="82" t="s">
        <v>106</v>
      </c>
      <c r="G17" s="147">
        <v>43213</v>
      </c>
      <c r="H17" s="74">
        <v>300</v>
      </c>
      <c r="I17" s="74">
        <v>1</v>
      </c>
      <c r="K17" s="49" t="s">
        <v>141</v>
      </c>
      <c r="L17" s="44" t="s">
        <v>216</v>
      </c>
      <c r="M17" s="82" t="s">
        <v>142</v>
      </c>
      <c r="N17" s="82" t="s">
        <v>140</v>
      </c>
      <c r="O17" s="74">
        <v>20</v>
      </c>
      <c r="P17" s="74">
        <v>1</v>
      </c>
    </row>
    <row r="18" spans="1:16" x14ac:dyDescent="0.25">
      <c r="A18" s="322"/>
      <c r="B18" s="245"/>
      <c r="C18" s="16" t="s">
        <v>13</v>
      </c>
      <c r="D18" s="149"/>
      <c r="E18" s="42"/>
      <c r="F18" s="82"/>
      <c r="G18" s="147"/>
      <c r="H18" s="142"/>
      <c r="I18" s="74"/>
      <c r="K18" s="49"/>
      <c r="L18" s="42"/>
      <c r="M18" s="82"/>
      <c r="N18" s="83"/>
      <c r="O18" s="73"/>
      <c r="P18" s="73"/>
    </row>
    <row r="19" spans="1:16" x14ac:dyDescent="0.25">
      <c r="A19" s="322"/>
      <c r="B19" s="245"/>
      <c r="C19" s="16" t="s">
        <v>14</v>
      </c>
      <c r="D19" s="149"/>
      <c r="E19" s="42"/>
      <c r="F19" s="82"/>
      <c r="G19" s="147"/>
      <c r="H19" s="142"/>
      <c r="I19" s="74"/>
      <c r="K19" s="50"/>
      <c r="L19" s="73"/>
      <c r="M19" s="83"/>
      <c r="N19" s="83"/>
      <c r="O19" s="73"/>
      <c r="P19" s="73"/>
    </row>
    <row r="20" spans="1:16" x14ac:dyDescent="0.25">
      <c r="A20" s="322"/>
      <c r="B20" s="245"/>
      <c r="C20" s="16" t="s">
        <v>15</v>
      </c>
      <c r="D20" s="149"/>
      <c r="E20" s="142"/>
      <c r="F20" s="83"/>
      <c r="G20" s="147"/>
      <c r="H20" s="142"/>
      <c r="I20" s="142"/>
      <c r="K20" s="50"/>
      <c r="L20" s="73"/>
      <c r="M20" s="83"/>
      <c r="N20" s="83"/>
      <c r="O20" s="73"/>
      <c r="P20" s="73"/>
    </row>
    <row r="21" spans="1:16" x14ac:dyDescent="0.25">
      <c r="A21" s="322"/>
      <c r="B21" s="245"/>
      <c r="C21" s="16" t="s">
        <v>16</v>
      </c>
      <c r="D21" s="149"/>
      <c r="E21" s="142"/>
      <c r="F21" s="82"/>
      <c r="G21" s="147"/>
      <c r="H21" s="142"/>
      <c r="I21" s="142"/>
      <c r="K21" s="50"/>
      <c r="L21" s="73"/>
      <c r="M21" s="83"/>
      <c r="N21" s="83"/>
      <c r="O21" s="73"/>
      <c r="P21" s="73"/>
    </row>
    <row r="22" spans="1:16" x14ac:dyDescent="0.25">
      <c r="A22" s="322"/>
      <c r="B22" s="245"/>
      <c r="C22" s="16" t="s">
        <v>17</v>
      </c>
      <c r="D22" s="149"/>
      <c r="E22" s="142"/>
      <c r="F22" s="82"/>
      <c r="G22" s="147"/>
      <c r="H22" s="142"/>
      <c r="I22" s="142"/>
      <c r="K22" s="50"/>
      <c r="L22" s="73"/>
      <c r="M22" s="83"/>
      <c r="N22" s="83"/>
      <c r="O22" s="73"/>
      <c r="P22" s="73"/>
    </row>
    <row r="23" spans="1:16" ht="15.75" thickBot="1" x14ac:dyDescent="0.3">
      <c r="A23" s="322"/>
      <c r="B23" s="245"/>
      <c r="C23" s="45" t="s">
        <v>33</v>
      </c>
      <c r="D23" s="143"/>
      <c r="E23" s="46"/>
      <c r="F23" s="85"/>
      <c r="G23" s="85"/>
      <c r="H23" s="46"/>
      <c r="I23" s="46"/>
      <c r="K23" s="51"/>
      <c r="L23" s="46"/>
      <c r="M23" s="85"/>
      <c r="N23" s="85"/>
      <c r="O23" s="46"/>
      <c r="P23" s="46"/>
    </row>
    <row r="24" spans="1:16" ht="18" thickBot="1" x14ac:dyDescent="0.3">
      <c r="A24" s="322"/>
      <c r="B24" s="245"/>
      <c r="C24" s="47" t="s">
        <v>88</v>
      </c>
      <c r="D24" s="93" t="s">
        <v>32</v>
      </c>
      <c r="E24" s="95" t="s">
        <v>89</v>
      </c>
      <c r="F24" s="94" t="s">
        <v>20</v>
      </c>
      <c r="G24" s="94" t="s">
        <v>109</v>
      </c>
      <c r="H24" s="95" t="s">
        <v>91</v>
      </c>
      <c r="I24" s="95" t="s">
        <v>23</v>
      </c>
      <c r="K24" s="93" t="s">
        <v>32</v>
      </c>
      <c r="L24" s="95" t="s">
        <v>89</v>
      </c>
      <c r="M24" s="94" t="s">
        <v>20</v>
      </c>
      <c r="N24" s="94" t="s">
        <v>109</v>
      </c>
      <c r="O24" s="95" t="s">
        <v>91</v>
      </c>
      <c r="P24" s="95" t="s">
        <v>23</v>
      </c>
    </row>
    <row r="25" spans="1:16" x14ac:dyDescent="0.25">
      <c r="A25" s="322"/>
      <c r="B25" s="245"/>
      <c r="C25" s="43" t="s">
        <v>19</v>
      </c>
      <c r="D25" s="49"/>
      <c r="E25" s="74"/>
      <c r="F25" s="82"/>
      <c r="G25" s="82"/>
      <c r="H25" s="74"/>
      <c r="I25" s="74"/>
      <c r="K25" s="49"/>
      <c r="L25" s="74"/>
      <c r="M25" s="82"/>
      <c r="N25" s="82"/>
      <c r="O25" s="74"/>
      <c r="P25" s="74"/>
    </row>
    <row r="26" spans="1:16" ht="15.75" thickBot="1" x14ac:dyDescent="0.3">
      <c r="A26" s="323"/>
      <c r="B26" s="246"/>
      <c r="C26" s="45" t="s">
        <v>18</v>
      </c>
      <c r="D26" s="51"/>
      <c r="E26" s="46"/>
      <c r="F26" s="83"/>
      <c r="G26" s="83"/>
      <c r="H26" s="46"/>
      <c r="I26" s="46"/>
      <c r="K26" s="51"/>
      <c r="L26" s="46"/>
      <c r="M26" s="83"/>
      <c r="N26" s="83"/>
      <c r="O26" s="46"/>
      <c r="P26" s="46"/>
    </row>
    <row r="27" spans="1:16" ht="15.75" customHeight="1" thickBot="1" x14ac:dyDescent="0.3">
      <c r="A27" s="321" t="s">
        <v>11</v>
      </c>
      <c r="B27" s="244" t="s">
        <v>98</v>
      </c>
      <c r="C27" s="47" t="s">
        <v>90</v>
      </c>
      <c r="D27" s="93" t="s">
        <v>32</v>
      </c>
      <c r="E27" s="94" t="s">
        <v>72</v>
      </c>
      <c r="F27" s="94" t="s">
        <v>20</v>
      </c>
      <c r="G27" s="94" t="s">
        <v>109</v>
      </c>
      <c r="H27" s="95" t="s">
        <v>93</v>
      </c>
      <c r="I27" s="95" t="s">
        <v>23</v>
      </c>
      <c r="K27" s="93" t="s">
        <v>32</v>
      </c>
      <c r="L27" s="94" t="s">
        <v>72</v>
      </c>
      <c r="M27" s="94" t="s">
        <v>20</v>
      </c>
      <c r="N27" s="94" t="s">
        <v>109</v>
      </c>
      <c r="O27" s="95" t="s">
        <v>93</v>
      </c>
      <c r="P27" s="95" t="s">
        <v>23</v>
      </c>
    </row>
    <row r="28" spans="1:16" ht="15" customHeight="1" x14ac:dyDescent="0.25">
      <c r="A28" s="322"/>
      <c r="B28" s="245"/>
      <c r="C28" s="43" t="s">
        <v>12</v>
      </c>
      <c r="D28" s="49" t="s">
        <v>240</v>
      </c>
      <c r="E28" s="44">
        <v>0.27800000000000002</v>
      </c>
      <c r="F28" s="82" t="s">
        <v>106</v>
      </c>
      <c r="G28" s="108">
        <v>43234</v>
      </c>
      <c r="H28" s="74">
        <v>250</v>
      </c>
      <c r="I28" s="74">
        <v>1</v>
      </c>
      <c r="K28" s="49"/>
      <c r="L28" s="44"/>
      <c r="M28" s="82"/>
      <c r="N28" s="82"/>
      <c r="O28" s="74"/>
      <c r="P28" s="74"/>
    </row>
    <row r="29" spans="1:16" x14ac:dyDescent="0.25">
      <c r="A29" s="322"/>
      <c r="B29" s="245"/>
      <c r="C29" s="16" t="s">
        <v>13</v>
      </c>
      <c r="D29" s="50"/>
      <c r="E29" s="42"/>
      <c r="F29" s="83"/>
      <c r="G29" s="83"/>
      <c r="H29" s="103"/>
      <c r="I29" s="103"/>
      <c r="K29" s="50"/>
      <c r="L29" s="42"/>
      <c r="M29" s="83"/>
      <c r="N29" s="83"/>
      <c r="O29" s="103"/>
      <c r="P29" s="103"/>
    </row>
    <row r="30" spans="1:16" x14ac:dyDescent="0.25">
      <c r="A30" s="322"/>
      <c r="B30" s="245"/>
      <c r="C30" s="16" t="s">
        <v>14</v>
      </c>
      <c r="D30" s="50"/>
      <c r="E30" s="103"/>
      <c r="F30" s="83"/>
      <c r="G30" s="83"/>
      <c r="H30" s="103"/>
      <c r="I30" s="103"/>
      <c r="K30" s="50"/>
      <c r="L30" s="103"/>
      <c r="M30" s="83"/>
      <c r="N30" s="83"/>
      <c r="O30" s="103"/>
      <c r="P30" s="103"/>
    </row>
    <row r="31" spans="1:16" x14ac:dyDescent="0.25">
      <c r="A31" s="322"/>
      <c r="B31" s="245"/>
      <c r="C31" s="16" t="s">
        <v>15</v>
      </c>
      <c r="D31" s="50" t="s">
        <v>124</v>
      </c>
      <c r="E31" s="42" t="s">
        <v>146</v>
      </c>
      <c r="F31" s="83" t="s">
        <v>106</v>
      </c>
      <c r="G31" s="109">
        <v>43260</v>
      </c>
      <c r="H31" s="103">
        <v>300</v>
      </c>
      <c r="I31" s="103">
        <v>1</v>
      </c>
      <c r="K31" s="50"/>
      <c r="L31" s="103"/>
      <c r="M31" s="83"/>
      <c r="N31" s="83"/>
      <c r="O31" s="103"/>
      <c r="P31" s="103"/>
    </row>
    <row r="32" spans="1:16" x14ac:dyDescent="0.25">
      <c r="A32" s="322"/>
      <c r="B32" s="245"/>
      <c r="C32" s="16" t="s">
        <v>16</v>
      </c>
      <c r="D32" s="50"/>
      <c r="E32" s="103"/>
      <c r="F32" s="83"/>
      <c r="G32" s="83"/>
      <c r="H32" s="103"/>
      <c r="I32" s="103"/>
      <c r="K32" s="50"/>
      <c r="L32" s="103"/>
      <c r="M32" s="83"/>
      <c r="N32" s="83"/>
      <c r="O32" s="103"/>
      <c r="P32" s="103"/>
    </row>
    <row r="33" spans="1:17" x14ac:dyDescent="0.25">
      <c r="A33" s="322"/>
      <c r="B33" s="245"/>
      <c r="C33" s="16" t="s">
        <v>17</v>
      </c>
      <c r="D33" s="50"/>
      <c r="E33" s="103"/>
      <c r="F33" s="83"/>
      <c r="G33" s="83"/>
      <c r="H33" s="103"/>
      <c r="I33" s="103"/>
      <c r="K33" s="50"/>
      <c r="L33" s="103"/>
      <c r="M33" s="83"/>
      <c r="N33" s="83"/>
      <c r="O33" s="103"/>
      <c r="P33" s="103"/>
    </row>
    <row r="34" spans="1:17" ht="15.75" thickBot="1" x14ac:dyDescent="0.3">
      <c r="A34" s="322"/>
      <c r="B34" s="245"/>
      <c r="C34" s="33" t="s">
        <v>33</v>
      </c>
      <c r="D34" s="51"/>
      <c r="E34" s="46"/>
      <c r="F34" s="85"/>
      <c r="G34" s="85"/>
      <c r="H34" s="46"/>
      <c r="I34" s="46"/>
      <c r="K34" s="51"/>
      <c r="L34" s="46"/>
      <c r="M34" s="85"/>
      <c r="N34" s="85"/>
      <c r="O34" s="46"/>
      <c r="P34" s="46"/>
    </row>
    <row r="35" spans="1:17" ht="18" thickBot="1" x14ac:dyDescent="0.3">
      <c r="A35" s="322"/>
      <c r="B35" s="245"/>
      <c r="C35" s="47" t="s">
        <v>88</v>
      </c>
      <c r="D35" s="93" t="s">
        <v>32</v>
      </c>
      <c r="E35" s="95" t="s">
        <v>89</v>
      </c>
      <c r="F35" s="94" t="s">
        <v>20</v>
      </c>
      <c r="G35" s="94" t="s">
        <v>109</v>
      </c>
      <c r="H35" s="95" t="s">
        <v>91</v>
      </c>
      <c r="I35" s="95" t="s">
        <v>23</v>
      </c>
      <c r="K35" s="93" t="s">
        <v>32</v>
      </c>
      <c r="L35" s="95" t="s">
        <v>89</v>
      </c>
      <c r="M35" s="94" t="s">
        <v>20</v>
      </c>
      <c r="N35" s="94" t="s">
        <v>109</v>
      </c>
      <c r="O35" s="95" t="s">
        <v>91</v>
      </c>
      <c r="P35" s="95" t="s">
        <v>23</v>
      </c>
    </row>
    <row r="36" spans="1:17" x14ac:dyDescent="0.25">
      <c r="A36" s="322"/>
      <c r="B36" s="245"/>
      <c r="C36" s="43" t="s">
        <v>19</v>
      </c>
      <c r="D36" s="49"/>
      <c r="E36" s="74"/>
      <c r="F36" s="82"/>
      <c r="G36" s="82"/>
      <c r="H36" s="74"/>
      <c r="I36" s="74"/>
      <c r="K36" s="49"/>
      <c r="L36" s="74"/>
      <c r="M36" s="82"/>
      <c r="N36" s="82"/>
      <c r="O36" s="74"/>
      <c r="P36" s="74"/>
    </row>
    <row r="37" spans="1:17" ht="15.75" thickBot="1" x14ac:dyDescent="0.3">
      <c r="A37" s="323"/>
      <c r="B37" s="246"/>
      <c r="C37" s="45" t="s">
        <v>18</v>
      </c>
      <c r="D37" s="51"/>
      <c r="E37" s="46"/>
      <c r="F37" s="83"/>
      <c r="G37" s="83"/>
      <c r="H37" s="46"/>
      <c r="I37" s="46"/>
      <c r="K37" s="51"/>
      <c r="L37" s="46"/>
      <c r="M37" s="83"/>
      <c r="N37" s="83"/>
      <c r="O37" s="46"/>
      <c r="P37" s="46"/>
    </row>
    <row r="38" spans="1:17" ht="15.75" thickBot="1" x14ac:dyDescent="0.3">
      <c r="A38" s="17"/>
      <c r="B38" s="14"/>
      <c r="C38" s="14"/>
      <c r="D38" s="247"/>
      <c r="E38" s="248"/>
      <c r="F38" s="248"/>
      <c r="G38" s="248"/>
      <c r="H38" s="248"/>
      <c r="I38" s="248"/>
      <c r="K38" s="247"/>
      <c r="L38" s="248"/>
      <c r="M38" s="248"/>
      <c r="N38" s="248"/>
      <c r="O38" s="248"/>
      <c r="P38" s="248"/>
    </row>
    <row r="39" spans="1:17" ht="60" customHeight="1" thickBot="1" x14ac:dyDescent="0.3">
      <c r="A39" s="259" t="s">
        <v>21</v>
      </c>
      <c r="B39" s="244" t="s">
        <v>99</v>
      </c>
      <c r="C39" s="47"/>
      <c r="D39" s="99" t="s">
        <v>32</v>
      </c>
      <c r="E39" s="76" t="s">
        <v>20</v>
      </c>
      <c r="F39" s="262" t="s">
        <v>92</v>
      </c>
      <c r="G39" s="263"/>
      <c r="H39" s="86" t="s">
        <v>23</v>
      </c>
      <c r="I39" s="75" t="s">
        <v>110</v>
      </c>
      <c r="K39" s="99" t="s">
        <v>32</v>
      </c>
      <c r="L39" s="76" t="s">
        <v>20</v>
      </c>
      <c r="M39" s="262" t="s">
        <v>92</v>
      </c>
      <c r="N39" s="263"/>
      <c r="O39" s="86" t="s">
        <v>23</v>
      </c>
      <c r="P39" s="75" t="s">
        <v>110</v>
      </c>
    </row>
    <row r="40" spans="1:17" ht="17.25" customHeight="1" x14ac:dyDescent="0.25">
      <c r="A40" s="260"/>
      <c r="B40" s="245"/>
      <c r="C40" s="43" t="s">
        <v>24</v>
      </c>
      <c r="D40" s="102" t="s">
        <v>130</v>
      </c>
      <c r="E40" s="74" t="s">
        <v>145</v>
      </c>
      <c r="F40" s="319">
        <v>1.5</v>
      </c>
      <c r="G40" s="290"/>
      <c r="H40" s="82">
        <v>1</v>
      </c>
      <c r="I40" s="108">
        <v>43226</v>
      </c>
      <c r="K40" s="102" t="s">
        <v>143</v>
      </c>
      <c r="L40" s="74" t="s">
        <v>145</v>
      </c>
      <c r="M40" s="319">
        <v>2</v>
      </c>
      <c r="N40" s="290"/>
      <c r="O40" s="82">
        <v>1</v>
      </c>
      <c r="P40" s="108">
        <v>43626</v>
      </c>
    </row>
    <row r="41" spans="1:17" ht="17.25" customHeight="1" x14ac:dyDescent="0.25">
      <c r="A41" s="260"/>
      <c r="B41" s="245"/>
      <c r="C41" s="16" t="s">
        <v>24</v>
      </c>
      <c r="D41" s="100"/>
      <c r="E41" s="103"/>
      <c r="F41" s="264"/>
      <c r="G41" s="265"/>
      <c r="H41" s="87"/>
      <c r="I41" s="83"/>
      <c r="K41" s="100" t="s">
        <v>144</v>
      </c>
      <c r="L41" s="74" t="s">
        <v>145</v>
      </c>
      <c r="M41" s="264">
        <v>0.25</v>
      </c>
      <c r="N41" s="265"/>
      <c r="O41" s="87">
        <v>1</v>
      </c>
      <c r="P41" s="108">
        <v>43626</v>
      </c>
    </row>
    <row r="42" spans="1:17" ht="15.75" thickBot="1" x14ac:dyDescent="0.3">
      <c r="A42" s="260"/>
      <c r="B42" s="245"/>
      <c r="C42" s="16" t="s">
        <v>25</v>
      </c>
      <c r="D42" s="100"/>
      <c r="E42" s="103"/>
      <c r="F42" s="264"/>
      <c r="G42" s="265"/>
      <c r="H42" s="83"/>
      <c r="I42" s="83"/>
      <c r="K42" s="104"/>
      <c r="L42" s="105"/>
      <c r="M42" s="317"/>
      <c r="N42" s="318"/>
      <c r="O42" s="83"/>
      <c r="P42" s="83"/>
    </row>
    <row r="43" spans="1:17" x14ac:dyDescent="0.25">
      <c r="A43" s="260"/>
      <c r="B43" s="245"/>
      <c r="C43" s="16" t="s">
        <v>22</v>
      </c>
      <c r="D43" s="100" t="s">
        <v>147</v>
      </c>
      <c r="E43" s="110" t="s">
        <v>148</v>
      </c>
      <c r="F43" s="264">
        <v>0.125</v>
      </c>
      <c r="G43" s="265"/>
      <c r="H43" s="83">
        <v>1</v>
      </c>
      <c r="I43" s="109">
        <v>43288</v>
      </c>
      <c r="K43" s="104"/>
      <c r="L43" s="105"/>
      <c r="M43" s="319"/>
      <c r="N43" s="290"/>
      <c r="O43" s="83"/>
      <c r="P43" s="83"/>
    </row>
    <row r="44" spans="1:17" x14ac:dyDescent="0.25">
      <c r="A44" s="260"/>
      <c r="B44" s="245"/>
      <c r="C44" s="16" t="s">
        <v>22</v>
      </c>
      <c r="D44" s="100"/>
      <c r="E44" s="103"/>
      <c r="F44" s="264"/>
      <c r="G44" s="265"/>
      <c r="H44" s="83"/>
      <c r="I44" s="88"/>
      <c r="K44" s="104"/>
      <c r="L44" s="105"/>
      <c r="M44" s="264"/>
      <c r="N44" s="265"/>
      <c r="O44" s="83"/>
      <c r="P44" s="88"/>
    </row>
    <row r="45" spans="1:17" ht="15.75" thickBot="1" x14ac:dyDescent="0.3">
      <c r="A45" s="260"/>
      <c r="B45" s="245"/>
      <c r="C45" s="45" t="s">
        <v>22</v>
      </c>
      <c r="D45" s="101"/>
      <c r="E45" s="46"/>
      <c r="F45" s="317"/>
      <c r="G45" s="318"/>
      <c r="H45" s="85"/>
      <c r="I45" s="84"/>
      <c r="K45" s="101"/>
      <c r="L45" s="46"/>
      <c r="M45" s="317"/>
      <c r="N45" s="318"/>
      <c r="O45" s="85"/>
      <c r="P45" s="84"/>
    </row>
    <row r="46" spans="1:17" s="34" customFormat="1" ht="15.75" thickBot="1" x14ac:dyDescent="0.3">
      <c r="A46" s="261"/>
      <c r="B46" s="246"/>
      <c r="C46" s="47" t="s">
        <v>69</v>
      </c>
      <c r="D46" s="320"/>
      <c r="E46" s="268"/>
      <c r="F46" s="268"/>
      <c r="G46" s="263"/>
      <c r="H46" s="94"/>
      <c r="I46" s="48"/>
      <c r="J46" s="35"/>
      <c r="K46" s="268" t="s">
        <v>155</v>
      </c>
      <c r="L46" s="268"/>
      <c r="M46" s="268"/>
      <c r="N46" s="263"/>
      <c r="O46" s="94"/>
      <c r="P46" s="48" t="s">
        <v>156</v>
      </c>
      <c r="Q46" s="35"/>
    </row>
    <row r="47" spans="1:17" ht="15.75" thickBot="1" x14ac:dyDescent="0.3">
      <c r="A47" s="11"/>
      <c r="B47" s="14"/>
      <c r="C47" s="14"/>
      <c r="D47" s="237"/>
      <c r="E47" s="238"/>
      <c r="F47" s="238"/>
      <c r="G47" s="238"/>
      <c r="H47" s="238"/>
      <c r="I47" s="238"/>
      <c r="K47" s="237"/>
      <c r="L47" s="238"/>
      <c r="M47" s="238"/>
      <c r="N47" s="238"/>
      <c r="O47" s="238"/>
      <c r="P47" s="238"/>
    </row>
    <row r="48" spans="1:17" ht="15.75" customHeight="1" thickBot="1" x14ac:dyDescent="0.3">
      <c r="A48" s="269" t="s">
        <v>26</v>
      </c>
      <c r="B48" s="270" t="s">
        <v>100</v>
      </c>
      <c r="C48" s="52"/>
      <c r="D48" s="316" t="s">
        <v>9</v>
      </c>
      <c r="E48" s="313"/>
      <c r="F48" s="314" t="s">
        <v>10</v>
      </c>
      <c r="G48" s="312"/>
      <c r="H48" s="313"/>
      <c r="I48" s="72" t="s">
        <v>109</v>
      </c>
      <c r="J48" s="62" t="s">
        <v>9</v>
      </c>
      <c r="K48" s="312" t="s">
        <v>9</v>
      </c>
      <c r="L48" s="313"/>
      <c r="M48" s="314" t="s">
        <v>10</v>
      </c>
      <c r="N48" s="312"/>
      <c r="O48" s="313"/>
      <c r="P48" s="72" t="s">
        <v>109</v>
      </c>
      <c r="Q48" s="62"/>
    </row>
    <row r="49" spans="1:16" ht="15" customHeight="1" x14ac:dyDescent="0.25">
      <c r="A49" s="269"/>
      <c r="B49" s="271"/>
      <c r="C49" s="15" t="s">
        <v>27</v>
      </c>
      <c r="D49" s="303"/>
      <c r="E49" s="304"/>
      <c r="F49" s="300" t="s">
        <v>126</v>
      </c>
      <c r="G49" s="301"/>
      <c r="H49" s="302"/>
      <c r="I49" s="107">
        <v>43370</v>
      </c>
      <c r="K49" s="303"/>
      <c r="L49" s="304"/>
      <c r="M49" s="300" t="s">
        <v>126</v>
      </c>
      <c r="N49" s="301"/>
      <c r="O49" s="302"/>
      <c r="P49" s="107">
        <v>43745</v>
      </c>
    </row>
    <row r="50" spans="1:16" x14ac:dyDescent="0.25">
      <c r="A50" s="269"/>
      <c r="B50" s="271"/>
      <c r="C50" s="15" t="s">
        <v>28</v>
      </c>
      <c r="D50" s="307" t="s">
        <v>94</v>
      </c>
      <c r="E50" s="308"/>
      <c r="F50" s="309"/>
      <c r="G50" s="307"/>
      <c r="H50" s="308"/>
      <c r="I50" s="90"/>
      <c r="K50" s="307" t="s">
        <v>94</v>
      </c>
      <c r="L50" s="308"/>
      <c r="M50" s="309"/>
      <c r="N50" s="307"/>
      <c r="O50" s="308"/>
      <c r="P50" s="90"/>
    </row>
    <row r="51" spans="1:16" ht="15.75" thickBot="1" x14ac:dyDescent="0.3">
      <c r="A51" s="269"/>
      <c r="B51" s="272"/>
      <c r="C51" s="53" t="s">
        <v>29</v>
      </c>
      <c r="D51" s="235" t="s">
        <v>95</v>
      </c>
      <c r="E51" s="236"/>
      <c r="F51" s="273"/>
      <c r="G51" s="235"/>
      <c r="H51" s="236"/>
      <c r="I51" s="81"/>
      <c r="K51" s="235" t="s">
        <v>95</v>
      </c>
      <c r="L51" s="236"/>
      <c r="M51" s="273"/>
      <c r="N51" s="235"/>
      <c r="O51" s="236"/>
      <c r="P51" s="81"/>
    </row>
    <row r="52" spans="1:16" ht="15.75" thickBot="1" x14ac:dyDescent="0.3">
      <c r="A52" s="11"/>
      <c r="B52" s="14"/>
      <c r="C52" s="14"/>
      <c r="D52" s="210"/>
      <c r="E52" s="211"/>
      <c r="F52" s="211"/>
      <c r="G52" s="211"/>
      <c r="H52" s="211"/>
      <c r="I52" s="211"/>
      <c r="K52" s="210"/>
      <c r="L52" s="211"/>
      <c r="M52" s="211"/>
      <c r="N52" s="211"/>
      <c r="O52" s="211"/>
      <c r="P52" s="211"/>
    </row>
    <row r="53" spans="1:16" ht="15" customHeight="1" thickBot="1" x14ac:dyDescent="0.3">
      <c r="A53" s="279" t="s">
        <v>30</v>
      </c>
      <c r="B53" s="281" t="s">
        <v>101</v>
      </c>
      <c r="C53" s="61"/>
      <c r="D53" s="79" t="s">
        <v>9</v>
      </c>
      <c r="E53" s="277" t="s">
        <v>84</v>
      </c>
      <c r="F53" s="278"/>
      <c r="G53" s="284" t="s">
        <v>412</v>
      </c>
      <c r="H53" s="284"/>
      <c r="I53" s="284"/>
      <c r="K53" s="79" t="s">
        <v>9</v>
      </c>
      <c r="L53" s="277" t="s">
        <v>84</v>
      </c>
      <c r="M53" s="278"/>
      <c r="N53" s="284" t="s">
        <v>412</v>
      </c>
      <c r="O53" s="284"/>
      <c r="P53" s="284"/>
    </row>
    <row r="54" spans="1:16" ht="15" customHeight="1" x14ac:dyDescent="0.25">
      <c r="A54" s="280"/>
      <c r="B54" s="282"/>
      <c r="C54" s="60" t="s">
        <v>35</v>
      </c>
      <c r="D54" s="78" t="s">
        <v>118</v>
      </c>
      <c r="E54" s="274">
        <v>13.7</v>
      </c>
      <c r="F54" s="275"/>
      <c r="G54" s="276">
        <v>174</v>
      </c>
      <c r="H54" s="276"/>
      <c r="I54" s="276"/>
      <c r="K54" s="78" t="s">
        <v>118</v>
      </c>
      <c r="L54" s="274">
        <v>4.3150000000000004</v>
      </c>
      <c r="M54" s="275"/>
      <c r="N54" s="276">
        <v>337</v>
      </c>
      <c r="O54" s="276"/>
      <c r="P54" s="276"/>
    </row>
    <row r="55" spans="1:16" ht="15.75" thickBot="1" x14ac:dyDescent="0.3">
      <c r="A55" s="280"/>
      <c r="B55" s="283"/>
      <c r="C55" s="59" t="s">
        <v>34</v>
      </c>
      <c r="D55" s="77"/>
      <c r="E55" s="286" t="s">
        <v>133</v>
      </c>
      <c r="F55" s="222"/>
      <c r="G55" s="285"/>
      <c r="H55" s="285"/>
      <c r="I55" s="285"/>
      <c r="K55" s="77"/>
      <c r="L55" s="286"/>
      <c r="M55" s="222"/>
      <c r="N55" s="285"/>
      <c r="O55" s="285"/>
      <c r="P55" s="285"/>
    </row>
    <row r="56" spans="1:16" ht="15.75" thickBot="1" x14ac:dyDescent="0.3">
      <c r="A56" s="11"/>
      <c r="B56" s="14"/>
      <c r="C56" s="14"/>
      <c r="D56" s="210"/>
      <c r="E56" s="211"/>
      <c r="F56" s="211"/>
      <c r="G56" s="211"/>
      <c r="H56" s="211"/>
      <c r="I56" s="211"/>
      <c r="K56" s="210"/>
      <c r="L56" s="211"/>
      <c r="M56" s="211"/>
      <c r="N56" s="211"/>
      <c r="O56" s="211"/>
      <c r="P56" s="211"/>
    </row>
    <row r="57" spans="1:16" ht="15" customHeight="1" x14ac:dyDescent="0.25">
      <c r="A57" s="259" t="s">
        <v>31</v>
      </c>
      <c r="B57" s="287" t="s">
        <v>107</v>
      </c>
      <c r="C57" s="58" t="s">
        <v>36</v>
      </c>
      <c r="D57" s="290">
        <v>250</v>
      </c>
      <c r="E57" s="291"/>
      <c r="F57" s="291"/>
      <c r="G57" s="291"/>
      <c r="H57" s="291"/>
      <c r="I57" s="291"/>
      <c r="K57" s="290">
        <v>150</v>
      </c>
      <c r="L57" s="291"/>
      <c r="M57" s="291"/>
      <c r="N57" s="291"/>
      <c r="O57" s="291"/>
      <c r="P57" s="291"/>
    </row>
    <row r="58" spans="1:16" x14ac:dyDescent="0.25">
      <c r="A58" s="260"/>
      <c r="B58" s="288"/>
      <c r="C58" s="18" t="s">
        <v>70</v>
      </c>
      <c r="D58" s="265">
        <v>370</v>
      </c>
      <c r="E58" s="292"/>
      <c r="F58" s="292"/>
      <c r="G58" s="292"/>
      <c r="H58" s="292"/>
      <c r="I58" s="292"/>
      <c r="K58" s="265">
        <v>70</v>
      </c>
      <c r="L58" s="292"/>
      <c r="M58" s="292"/>
      <c r="N58" s="292"/>
      <c r="O58" s="292"/>
      <c r="P58" s="292"/>
    </row>
    <row r="59" spans="1:16" x14ac:dyDescent="0.25">
      <c r="A59" s="260"/>
      <c r="B59" s="288"/>
      <c r="C59" s="18" t="s">
        <v>42</v>
      </c>
      <c r="D59" s="265" t="s">
        <v>153</v>
      </c>
      <c r="E59" s="292"/>
      <c r="F59" s="292"/>
      <c r="G59" s="292"/>
      <c r="H59" s="292"/>
      <c r="I59" s="292"/>
      <c r="K59" s="265">
        <v>75</v>
      </c>
      <c r="L59" s="292"/>
      <c r="M59" s="292"/>
      <c r="N59" s="292"/>
      <c r="O59" s="292"/>
      <c r="P59" s="292"/>
    </row>
    <row r="60" spans="1:16" x14ac:dyDescent="0.25">
      <c r="A60" s="260"/>
      <c r="B60" s="288"/>
      <c r="C60" s="18" t="s">
        <v>43</v>
      </c>
      <c r="D60" s="315" t="s">
        <v>157</v>
      </c>
      <c r="E60" s="292"/>
      <c r="F60" s="292"/>
      <c r="G60" s="292"/>
      <c r="H60" s="292"/>
      <c r="I60" s="292"/>
      <c r="K60" s="315" t="s">
        <v>157</v>
      </c>
      <c r="L60" s="292"/>
      <c r="M60" s="292"/>
      <c r="N60" s="292"/>
      <c r="O60" s="292"/>
      <c r="P60" s="292"/>
    </row>
    <row r="61" spans="1:16" x14ac:dyDescent="0.25">
      <c r="A61" s="260"/>
      <c r="B61" s="288"/>
      <c r="C61" s="16" t="s">
        <v>44</v>
      </c>
      <c r="D61" s="295" t="s">
        <v>152</v>
      </c>
      <c r="E61" s="296"/>
      <c r="F61" s="296"/>
      <c r="G61" s="296"/>
      <c r="H61" s="296"/>
      <c r="I61" s="296"/>
      <c r="K61" s="295">
        <v>200</v>
      </c>
      <c r="L61" s="296"/>
      <c r="M61" s="296"/>
      <c r="N61" s="296"/>
      <c r="O61" s="296"/>
      <c r="P61" s="296"/>
    </row>
    <row r="62" spans="1:16" x14ac:dyDescent="0.25">
      <c r="A62" s="260"/>
      <c r="B62" s="288"/>
      <c r="C62" s="16" t="s">
        <v>45</v>
      </c>
      <c r="D62" s="299" t="s">
        <v>191</v>
      </c>
      <c r="E62" s="296"/>
      <c r="F62" s="296"/>
      <c r="G62" s="296"/>
      <c r="H62" s="296"/>
      <c r="I62" s="296"/>
      <c r="K62" s="295"/>
      <c r="L62" s="296"/>
      <c r="M62" s="296"/>
      <c r="N62" s="296"/>
      <c r="O62" s="296"/>
      <c r="P62" s="296"/>
    </row>
    <row r="63" spans="1:16" x14ac:dyDescent="0.25">
      <c r="A63" s="260"/>
      <c r="B63" s="288"/>
      <c r="C63" s="18" t="s">
        <v>46</v>
      </c>
      <c r="D63" s="295" t="s">
        <v>154</v>
      </c>
      <c r="E63" s="296"/>
      <c r="F63" s="296"/>
      <c r="G63" s="296"/>
      <c r="H63" s="296"/>
      <c r="I63" s="296"/>
      <c r="K63" s="295"/>
      <c r="L63" s="296"/>
      <c r="M63" s="296"/>
      <c r="N63" s="296"/>
      <c r="O63" s="296"/>
      <c r="P63" s="296"/>
    </row>
    <row r="64" spans="1:16" x14ac:dyDescent="0.25">
      <c r="A64" s="260"/>
      <c r="B64" s="288"/>
      <c r="C64" s="16" t="s">
        <v>47</v>
      </c>
      <c r="D64" s="265"/>
      <c r="E64" s="292"/>
      <c r="F64" s="292"/>
      <c r="G64" s="292"/>
      <c r="H64" s="292"/>
      <c r="I64" s="292"/>
      <c r="K64" s="265"/>
      <c r="L64" s="292"/>
      <c r="M64" s="292"/>
      <c r="N64" s="292"/>
      <c r="O64" s="292"/>
      <c r="P64" s="292"/>
    </row>
    <row r="65" spans="1:17" ht="15" customHeight="1" x14ac:dyDescent="0.25">
      <c r="A65" s="260"/>
      <c r="B65" s="288"/>
      <c r="C65" s="293" t="s">
        <v>71</v>
      </c>
      <c r="D65" s="295"/>
      <c r="E65" s="296"/>
      <c r="F65" s="296"/>
      <c r="G65" s="296"/>
      <c r="H65" s="296"/>
      <c r="I65" s="296"/>
      <c r="J65" s="36"/>
      <c r="K65" s="295"/>
      <c r="L65" s="296"/>
      <c r="M65" s="296"/>
      <c r="N65" s="296"/>
      <c r="O65" s="296"/>
      <c r="P65" s="296"/>
      <c r="Q65" s="36"/>
    </row>
    <row r="66" spans="1:17" ht="15.75" thickBot="1" x14ac:dyDescent="0.3">
      <c r="A66" s="261"/>
      <c r="B66" s="289"/>
      <c r="C66" s="294"/>
      <c r="D66" s="297"/>
      <c r="E66" s="298"/>
      <c r="F66" s="298"/>
      <c r="G66" s="298"/>
      <c r="H66" s="298"/>
      <c r="I66" s="298"/>
      <c r="J66" s="36"/>
      <c r="K66" s="297"/>
      <c r="L66" s="298"/>
      <c r="M66" s="298"/>
      <c r="N66" s="298"/>
      <c r="O66" s="298"/>
      <c r="P66" s="298"/>
      <c r="Q66" s="36"/>
    </row>
    <row r="68" spans="1:17" ht="150.6" customHeight="1" x14ac:dyDescent="0.25">
      <c r="E68" s="311" t="s">
        <v>159</v>
      </c>
      <c r="F68" s="311"/>
      <c r="G68" s="311"/>
      <c r="H68" s="311"/>
      <c r="L68" s="311" t="s">
        <v>158</v>
      </c>
      <c r="M68" s="311"/>
      <c r="N68" s="311"/>
      <c r="O68" s="311"/>
    </row>
  </sheetData>
  <mergeCells count="119">
    <mergeCell ref="A27:A37"/>
    <mergeCell ref="D2:I2"/>
    <mergeCell ref="K2:P2"/>
    <mergeCell ref="D7:I7"/>
    <mergeCell ref="K7:P7"/>
    <mergeCell ref="D5:I5"/>
    <mergeCell ref="K5:P5"/>
    <mergeCell ref="A16:A26"/>
    <mergeCell ref="B16:B26"/>
    <mergeCell ref="B27:B37"/>
    <mergeCell ref="D11:I11"/>
    <mergeCell ref="K11:P11"/>
    <mergeCell ref="D15:I15"/>
    <mergeCell ref="K15:P15"/>
    <mergeCell ref="A12:A14"/>
    <mergeCell ref="A8:A10"/>
    <mergeCell ref="B8:B10"/>
    <mergeCell ref="D8:H8"/>
    <mergeCell ref="D9:H9"/>
    <mergeCell ref="D10:H10"/>
    <mergeCell ref="K8:O8"/>
    <mergeCell ref="K9:O9"/>
    <mergeCell ref="K10:O10"/>
    <mergeCell ref="A3:A6"/>
    <mergeCell ref="B3:B6"/>
    <mergeCell ref="D3:I3"/>
    <mergeCell ref="K3:P3"/>
    <mergeCell ref="D6:I6"/>
    <mergeCell ref="K6:P6"/>
    <mergeCell ref="D13:I13"/>
    <mergeCell ref="K13:P13"/>
    <mergeCell ref="B12:B14"/>
    <mergeCell ref="D12:I12"/>
    <mergeCell ref="K12:P12"/>
    <mergeCell ref="D14:H14"/>
    <mergeCell ref="K14:O14"/>
    <mergeCell ref="D4:I4"/>
    <mergeCell ref="K4:P4"/>
    <mergeCell ref="D38:I38"/>
    <mergeCell ref="K38:P38"/>
    <mergeCell ref="A39:A46"/>
    <mergeCell ref="B39:B46"/>
    <mergeCell ref="F39:G39"/>
    <mergeCell ref="M39:N39"/>
    <mergeCell ref="F42:G42"/>
    <mergeCell ref="M42:N42"/>
    <mergeCell ref="F41:G41"/>
    <mergeCell ref="M41:N41"/>
    <mergeCell ref="F45:G45"/>
    <mergeCell ref="M45:N45"/>
    <mergeCell ref="F40:G40"/>
    <mergeCell ref="M40:N40"/>
    <mergeCell ref="F43:G43"/>
    <mergeCell ref="M43:N43"/>
    <mergeCell ref="F44:G44"/>
    <mergeCell ref="M44:N44"/>
    <mergeCell ref="D46:G46"/>
    <mergeCell ref="K46:N46"/>
    <mergeCell ref="D47:I47"/>
    <mergeCell ref="K47:P47"/>
    <mergeCell ref="D50:E50"/>
    <mergeCell ref="K50:L50"/>
    <mergeCell ref="D49:E49"/>
    <mergeCell ref="K49:L49"/>
    <mergeCell ref="D48:E48"/>
    <mergeCell ref="F48:H48"/>
    <mergeCell ref="F49:H49"/>
    <mergeCell ref="F50:H50"/>
    <mergeCell ref="M48:O48"/>
    <mergeCell ref="M49:O49"/>
    <mergeCell ref="M50:O50"/>
    <mergeCell ref="A48:A51"/>
    <mergeCell ref="B48:B51"/>
    <mergeCell ref="K48:L48"/>
    <mergeCell ref="D51:E51"/>
    <mergeCell ref="K51:L51"/>
    <mergeCell ref="F51:H51"/>
    <mergeCell ref="M51:O51"/>
    <mergeCell ref="N54:P54"/>
    <mergeCell ref="A53:A55"/>
    <mergeCell ref="B53:B55"/>
    <mergeCell ref="E53:F53"/>
    <mergeCell ref="G53:I53"/>
    <mergeCell ref="L53:M53"/>
    <mergeCell ref="N53:P53"/>
    <mergeCell ref="D52:I52"/>
    <mergeCell ref="K52:P52"/>
    <mergeCell ref="E54:F54"/>
    <mergeCell ref="G54:I54"/>
    <mergeCell ref="L54:M54"/>
    <mergeCell ref="A57:A66"/>
    <mergeCell ref="B57:B66"/>
    <mergeCell ref="D57:I57"/>
    <mergeCell ref="K57:P57"/>
    <mergeCell ref="D59:I59"/>
    <mergeCell ref="K59:P59"/>
    <mergeCell ref="D61:I61"/>
    <mergeCell ref="K61:P61"/>
    <mergeCell ref="D63:I63"/>
    <mergeCell ref="K63:P63"/>
    <mergeCell ref="C65:C66"/>
    <mergeCell ref="D60:I60"/>
    <mergeCell ref="K60:P60"/>
    <mergeCell ref="D58:I58"/>
    <mergeCell ref="L68:O68"/>
    <mergeCell ref="E68:H68"/>
    <mergeCell ref="K58:P58"/>
    <mergeCell ref="E55:F55"/>
    <mergeCell ref="G55:I55"/>
    <mergeCell ref="L55:M55"/>
    <mergeCell ref="N55:P55"/>
    <mergeCell ref="D56:I56"/>
    <mergeCell ref="D62:I62"/>
    <mergeCell ref="K62:P62"/>
    <mergeCell ref="D65:I66"/>
    <mergeCell ref="K65:P66"/>
    <mergeCell ref="D64:I64"/>
    <mergeCell ref="K64:P64"/>
    <mergeCell ref="K56:P56"/>
  </mergeCells>
  <pageMargins left="0.7" right="0.7" top="0.78740157499999996" bottom="0.78740157499999996" header="0.3" footer="0.3"/>
  <pageSetup paperSize="9" orientation="portrait" horizontalDpi="4294967294" vertic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61"/>
  <sheetViews>
    <sheetView workbookViewId="0">
      <selection activeCell="P10" sqref="P10"/>
    </sheetView>
  </sheetViews>
  <sheetFormatPr baseColWidth="10" defaultColWidth="10.7109375" defaultRowHeight="15" x14ac:dyDescent="0.25"/>
  <cols>
    <col min="1" max="1" width="16.42578125" bestFit="1" customWidth="1"/>
    <col min="5" max="5" width="14.7109375" bestFit="1" customWidth="1"/>
    <col min="9" max="9" width="14.7109375" bestFit="1" customWidth="1"/>
    <col min="13" max="13" width="14.7109375" bestFit="1" customWidth="1"/>
    <col min="17" max="17" width="14.7109375" bestFit="1" customWidth="1"/>
    <col min="21" max="21" width="14.7109375" bestFit="1" customWidth="1"/>
  </cols>
  <sheetData>
    <row r="4" spans="1:23" x14ac:dyDescent="0.25">
      <c r="A4" s="187" t="s">
        <v>189</v>
      </c>
      <c r="B4" s="187"/>
      <c r="C4" s="187"/>
      <c r="D4" s="187"/>
      <c r="E4" s="187"/>
    </row>
    <row r="5" spans="1:23" x14ac:dyDescent="0.25">
      <c r="A5" s="187" t="s">
        <v>188</v>
      </c>
      <c r="B5" s="187"/>
      <c r="C5" s="187"/>
      <c r="E5" s="4" t="s">
        <v>193</v>
      </c>
      <c r="F5" s="4"/>
      <c r="G5" s="4"/>
      <c r="I5" s="187"/>
      <c r="J5" s="187"/>
      <c r="K5" s="187"/>
      <c r="M5" s="187"/>
      <c r="N5" s="187"/>
      <c r="O5" s="187"/>
      <c r="Q5" s="187"/>
      <c r="R5" s="187"/>
      <c r="S5" s="187"/>
      <c r="U5" s="187"/>
      <c r="V5" s="187"/>
      <c r="W5" s="187"/>
    </row>
    <row r="6" spans="1:23" x14ac:dyDescent="0.25">
      <c r="A6" s="4" t="s">
        <v>86</v>
      </c>
      <c r="B6" s="4" t="s">
        <v>73</v>
      </c>
      <c r="C6" s="4" t="s">
        <v>192</v>
      </c>
      <c r="E6" s="4" t="s">
        <v>86</v>
      </c>
      <c r="F6" s="4" t="s">
        <v>73</v>
      </c>
      <c r="G6" s="4" t="s">
        <v>192</v>
      </c>
      <c r="I6" s="4"/>
      <c r="J6" s="4"/>
      <c r="K6" s="5" t="s">
        <v>264</v>
      </c>
      <c r="M6" s="4"/>
      <c r="N6" s="4"/>
      <c r="O6" s="4"/>
      <c r="Q6" s="4"/>
      <c r="R6" s="4"/>
      <c r="S6" s="4"/>
      <c r="U6" s="4"/>
      <c r="V6" s="4"/>
      <c r="W6" s="4"/>
    </row>
    <row r="7" spans="1:23" x14ac:dyDescent="0.25">
      <c r="A7" s="4">
        <v>1</v>
      </c>
      <c r="B7" s="4">
        <v>2009</v>
      </c>
      <c r="C7" s="133">
        <v>78.784616439295263</v>
      </c>
      <c r="E7" s="4">
        <v>1</v>
      </c>
      <c r="F7" s="134">
        <v>2009</v>
      </c>
      <c r="G7" s="133">
        <v>30.820631578947367</v>
      </c>
      <c r="I7" s="4"/>
      <c r="J7" s="4"/>
      <c r="K7" s="4"/>
      <c r="L7" s="4"/>
      <c r="M7" s="4" t="s">
        <v>226</v>
      </c>
      <c r="N7" s="4" t="s">
        <v>227</v>
      </c>
      <c r="O7" s="4" t="s">
        <v>228</v>
      </c>
      <c r="Q7" s="4"/>
      <c r="R7" s="4"/>
      <c r="S7" s="4"/>
      <c r="U7" s="4"/>
      <c r="V7" s="4"/>
      <c r="W7" s="4"/>
    </row>
    <row r="8" spans="1:23" x14ac:dyDescent="0.25">
      <c r="A8" s="4">
        <v>2</v>
      </c>
      <c r="B8" s="4">
        <v>2010</v>
      </c>
      <c r="C8" s="133">
        <v>82.040835277080731</v>
      </c>
      <c r="E8" s="4">
        <v>2</v>
      </c>
      <c r="F8" s="134">
        <v>2010</v>
      </c>
      <c r="G8" s="133">
        <v>27.707014440719131</v>
      </c>
      <c r="I8" s="4"/>
      <c r="J8" s="4"/>
      <c r="K8" s="4" t="s">
        <v>229</v>
      </c>
      <c r="L8" s="4"/>
      <c r="M8" s="4" t="s">
        <v>230</v>
      </c>
      <c r="N8" s="4" t="s">
        <v>230</v>
      </c>
      <c r="O8" s="4" t="s">
        <v>230</v>
      </c>
      <c r="P8" s="151">
        <f>C18</f>
        <v>0.16148615375490616</v>
      </c>
      <c r="Q8" s="4"/>
      <c r="R8" s="4"/>
      <c r="S8" s="4"/>
      <c r="U8" s="4"/>
      <c r="V8" s="4"/>
      <c r="W8" s="4"/>
    </row>
    <row r="9" spans="1:23" x14ac:dyDescent="0.25">
      <c r="A9" s="4">
        <v>3</v>
      </c>
      <c r="B9" s="4">
        <v>2011</v>
      </c>
      <c r="C9" s="133">
        <v>88.642904030458183</v>
      </c>
      <c r="E9" s="4">
        <v>3</v>
      </c>
      <c r="F9" s="134">
        <v>2011</v>
      </c>
      <c r="G9" s="133">
        <v>28.505350520925305</v>
      </c>
      <c r="I9" s="4"/>
      <c r="J9" s="4"/>
      <c r="K9" s="4" t="s">
        <v>231</v>
      </c>
      <c r="L9" s="4"/>
      <c r="M9" s="4" t="s">
        <v>230</v>
      </c>
      <c r="N9" s="4" t="s">
        <v>134</v>
      </c>
      <c r="O9" s="4"/>
      <c r="P9" s="151">
        <f>AVERAGE(C18,G18)</f>
        <v>0.20077338419046489</v>
      </c>
      <c r="Q9" s="4"/>
      <c r="R9" s="4"/>
      <c r="S9" s="4"/>
      <c r="U9" s="4"/>
      <c r="V9" s="4"/>
      <c r="W9" s="4"/>
    </row>
    <row r="10" spans="1:23" x14ac:dyDescent="0.25">
      <c r="A10" s="4">
        <v>4</v>
      </c>
      <c r="B10" s="4">
        <v>2012</v>
      </c>
      <c r="C10" s="133">
        <v>90.391038652087559</v>
      </c>
      <c r="E10" s="4">
        <v>4</v>
      </c>
      <c r="F10" s="134">
        <v>2012</v>
      </c>
      <c r="G10" s="133">
        <v>36.096089861321836</v>
      </c>
      <c r="I10" s="4"/>
      <c r="J10" s="4"/>
      <c r="K10" s="4"/>
      <c r="M10" s="4"/>
      <c r="N10" s="4"/>
      <c r="O10" s="4"/>
      <c r="Q10" s="4"/>
      <c r="R10" s="4"/>
      <c r="S10" s="4"/>
      <c r="U10" s="4"/>
      <c r="V10" s="4"/>
      <c r="W10" s="4"/>
    </row>
    <row r="11" spans="1:23" x14ac:dyDescent="0.25">
      <c r="A11" s="4">
        <v>5</v>
      </c>
      <c r="B11" s="4">
        <v>2013</v>
      </c>
      <c r="C11" s="133">
        <v>87.044675763425758</v>
      </c>
      <c r="E11" s="4">
        <v>5</v>
      </c>
      <c r="F11" s="134">
        <v>2013</v>
      </c>
      <c r="G11" s="133">
        <v>30.999854904236795</v>
      </c>
      <c r="I11" s="4"/>
      <c r="J11" s="4"/>
      <c r="K11" s="4"/>
      <c r="M11" s="4"/>
      <c r="N11" s="4"/>
      <c r="O11" s="4"/>
      <c r="Q11" s="4"/>
      <c r="R11" s="4"/>
      <c r="S11" s="4"/>
      <c r="U11" s="4"/>
      <c r="V11" s="4"/>
      <c r="W11" s="4"/>
    </row>
    <row r="12" spans="1:23" x14ac:dyDescent="0.25">
      <c r="A12" s="4">
        <v>6</v>
      </c>
      <c r="B12" s="4">
        <v>2014</v>
      </c>
      <c r="C12" s="133">
        <v>69.707933520793901</v>
      </c>
      <c r="E12" s="4">
        <v>6</v>
      </c>
      <c r="F12" s="134">
        <v>2014</v>
      </c>
      <c r="G12" s="133">
        <v>30.526197134866731</v>
      </c>
      <c r="I12" s="4"/>
      <c r="J12" s="4"/>
      <c r="K12" s="4"/>
      <c r="M12" s="4"/>
      <c r="N12" s="4"/>
      <c r="O12" s="4"/>
      <c r="Q12" s="4"/>
      <c r="R12" s="4"/>
      <c r="S12" s="4"/>
      <c r="U12" s="4"/>
      <c r="V12" s="4"/>
      <c r="W12" s="4"/>
    </row>
    <row r="13" spans="1:23" x14ac:dyDescent="0.25">
      <c r="A13" s="4">
        <v>7</v>
      </c>
      <c r="B13" s="4">
        <v>2015</v>
      </c>
      <c r="C13" s="133">
        <v>112.5201650722191</v>
      </c>
      <c r="E13" s="4">
        <v>7</v>
      </c>
      <c r="F13" s="134">
        <v>2015</v>
      </c>
      <c r="G13" s="133">
        <v>50.002194110185471</v>
      </c>
      <c r="I13" s="4"/>
      <c r="J13" s="4"/>
      <c r="K13" s="4"/>
      <c r="M13" s="4"/>
      <c r="N13" s="4"/>
      <c r="O13" s="4"/>
      <c r="Q13" s="4"/>
      <c r="R13" s="4"/>
      <c r="S13" s="4"/>
      <c r="U13" s="4"/>
      <c r="V13" s="4"/>
      <c r="W13" s="4"/>
    </row>
    <row r="14" spans="1:23" x14ac:dyDescent="0.25">
      <c r="A14" s="4">
        <v>8</v>
      </c>
      <c r="B14" s="4">
        <v>2016</v>
      </c>
      <c r="C14" s="133">
        <v>112.52090472926662</v>
      </c>
      <c r="E14" s="4">
        <v>8</v>
      </c>
      <c r="F14" s="134">
        <v>2016</v>
      </c>
      <c r="G14" s="133">
        <v>47.315448658649402</v>
      </c>
      <c r="I14" s="4"/>
      <c r="J14" s="4"/>
      <c r="K14" s="4"/>
      <c r="M14" s="4"/>
      <c r="N14" s="4"/>
      <c r="O14" s="4"/>
      <c r="Q14" s="4"/>
      <c r="R14" s="4"/>
      <c r="S14" s="4"/>
      <c r="U14" s="4"/>
      <c r="V14" s="4"/>
      <c r="W14" s="4"/>
    </row>
    <row r="15" spans="1:23" x14ac:dyDescent="0.25">
      <c r="A15" s="4">
        <v>9</v>
      </c>
      <c r="B15" s="4">
        <v>2017</v>
      </c>
      <c r="C15" s="133">
        <v>112.52283126696919</v>
      </c>
      <c r="E15" s="4">
        <v>9</v>
      </c>
      <c r="F15" s="134">
        <v>2017</v>
      </c>
      <c r="G15" s="133">
        <v>47.189878093830806</v>
      </c>
      <c r="I15" s="4"/>
      <c r="J15" s="4"/>
      <c r="K15" s="4"/>
      <c r="M15" s="4"/>
      <c r="N15" s="4"/>
      <c r="O15" s="4"/>
      <c r="Q15" s="4"/>
      <c r="R15" s="4"/>
      <c r="S15" s="4"/>
      <c r="U15" s="4"/>
      <c r="V15" s="4"/>
      <c r="W15" s="4"/>
    </row>
    <row r="16" spans="1:23" x14ac:dyDescent="0.25">
      <c r="A16" s="4">
        <v>10</v>
      </c>
      <c r="B16" s="4">
        <v>2018</v>
      </c>
      <c r="C16" s="133">
        <v>113.42358052612784</v>
      </c>
      <c r="E16" s="4">
        <v>10</v>
      </c>
      <c r="F16" s="134">
        <v>2018</v>
      </c>
      <c r="G16" s="133">
        <v>48.213366512619977</v>
      </c>
      <c r="I16" s="4"/>
      <c r="J16" s="4"/>
      <c r="K16" s="4"/>
      <c r="M16" s="4"/>
      <c r="N16" s="4"/>
      <c r="O16" s="4"/>
      <c r="Q16" s="4"/>
      <c r="R16" s="4"/>
      <c r="S16" s="4"/>
      <c r="U16" s="4"/>
      <c r="V16" s="4"/>
      <c r="W16" s="4"/>
    </row>
    <row r="17" spans="1:23" x14ac:dyDescent="0.25">
      <c r="A17" s="4">
        <v>11</v>
      </c>
      <c r="B17" s="4">
        <v>2019</v>
      </c>
      <c r="C17" s="133">
        <v>109.32904543906776</v>
      </c>
      <c r="E17" s="4">
        <v>11</v>
      </c>
      <c r="F17" s="134">
        <v>2019</v>
      </c>
      <c r="G17" s="133">
        <v>52.273503597691153</v>
      </c>
    </row>
    <row r="18" spans="1:23" x14ac:dyDescent="0.25">
      <c r="C18" s="151">
        <f>STDEVP(C7:C17)/AVERAGE(C7:C17)</f>
        <v>0.16148615375490616</v>
      </c>
      <c r="G18" s="151">
        <f>STDEVP(G7:G17)/AVERAGE(G7:G17)</f>
        <v>0.24006061462602363</v>
      </c>
    </row>
    <row r="20" spans="1:23" x14ac:dyDescent="0.25">
      <c r="A20" s="187"/>
      <c r="B20" s="187"/>
      <c r="C20" s="187"/>
      <c r="D20" s="4"/>
      <c r="E20" s="187"/>
      <c r="F20" s="187"/>
      <c r="G20" s="187"/>
      <c r="H20" s="4"/>
      <c r="I20" s="187"/>
      <c r="J20" s="187"/>
      <c r="K20" s="187"/>
      <c r="L20" s="4"/>
      <c r="M20" s="187"/>
      <c r="N20" s="187"/>
      <c r="O20" s="187"/>
      <c r="P20" s="4"/>
      <c r="Q20" s="187"/>
      <c r="R20" s="187"/>
      <c r="S20" s="187"/>
      <c r="T20" s="4"/>
      <c r="U20" s="187"/>
      <c r="V20" s="187"/>
      <c r="W20" s="187"/>
    </row>
    <row r="21" spans="1:23" x14ac:dyDescent="0.25">
      <c r="A21" s="4"/>
      <c r="B21" s="4"/>
      <c r="C21" s="4"/>
      <c r="D21" s="4"/>
      <c r="E21" s="4"/>
      <c r="F21" s="4"/>
      <c r="G21" s="4"/>
      <c r="H21" s="4"/>
      <c r="I21" s="4"/>
      <c r="J21" s="4"/>
      <c r="K21" s="4"/>
      <c r="L21" s="4"/>
      <c r="M21" s="4"/>
      <c r="N21" s="4"/>
      <c r="O21" s="4"/>
      <c r="P21" s="4"/>
      <c r="Q21" s="4"/>
      <c r="R21" s="4"/>
      <c r="S21" s="4"/>
      <c r="T21" s="4"/>
      <c r="U21" s="4"/>
      <c r="V21" s="4"/>
      <c r="W21" s="4"/>
    </row>
    <row r="22" spans="1:23" x14ac:dyDescent="0.25">
      <c r="A22" s="4"/>
      <c r="B22" s="4"/>
      <c r="C22" s="4"/>
      <c r="D22" s="4"/>
      <c r="E22" s="4"/>
      <c r="F22" s="4"/>
      <c r="G22" s="4"/>
      <c r="H22" s="4"/>
      <c r="I22" s="4"/>
      <c r="J22" s="4"/>
      <c r="K22" s="4"/>
      <c r="L22" s="4"/>
      <c r="M22" s="4"/>
      <c r="N22" s="4"/>
      <c r="O22" s="4"/>
      <c r="P22" s="4"/>
      <c r="Q22" s="4"/>
      <c r="R22" s="4"/>
      <c r="S22" s="4"/>
      <c r="T22" s="4"/>
      <c r="U22" s="4"/>
      <c r="V22" s="4"/>
      <c r="W22" s="4"/>
    </row>
    <row r="23" spans="1:23" x14ac:dyDescent="0.25">
      <c r="A23" s="4"/>
      <c r="B23" s="4"/>
      <c r="C23" s="4"/>
      <c r="D23" s="4"/>
      <c r="E23" s="4"/>
      <c r="F23" s="4"/>
      <c r="G23" s="4"/>
      <c r="H23" s="4"/>
      <c r="I23" s="4"/>
      <c r="J23" s="4"/>
      <c r="K23" s="4"/>
      <c r="L23" s="4"/>
      <c r="M23" s="4"/>
      <c r="N23" s="4"/>
      <c r="O23" s="4"/>
      <c r="P23" s="4"/>
      <c r="Q23" s="4"/>
      <c r="R23" s="4"/>
      <c r="S23" s="4"/>
      <c r="T23" s="4"/>
      <c r="U23" s="4"/>
      <c r="V23" s="4"/>
      <c r="W23" s="4"/>
    </row>
    <row r="24" spans="1:23" x14ac:dyDescent="0.25">
      <c r="A24" s="4"/>
      <c r="B24" s="4"/>
      <c r="C24" s="4"/>
      <c r="D24" s="4"/>
      <c r="E24" s="4"/>
      <c r="F24" s="4"/>
      <c r="G24" s="4"/>
      <c r="H24" s="4"/>
      <c r="I24" s="4"/>
      <c r="J24" s="4"/>
      <c r="K24" s="4"/>
      <c r="L24" s="4"/>
      <c r="M24" s="4"/>
      <c r="N24" s="4"/>
      <c r="O24" s="4"/>
      <c r="P24" s="4"/>
      <c r="Q24" s="4"/>
      <c r="R24" s="4"/>
      <c r="S24" s="4"/>
      <c r="T24" s="4"/>
      <c r="U24" s="4"/>
      <c r="V24" s="4"/>
      <c r="W24" s="4"/>
    </row>
    <row r="25" spans="1:23" x14ac:dyDescent="0.25">
      <c r="A25" s="4"/>
      <c r="B25" s="4"/>
      <c r="C25" s="4"/>
      <c r="D25" s="4"/>
      <c r="E25" s="4"/>
      <c r="F25" s="4"/>
      <c r="G25" s="4"/>
      <c r="H25" s="4"/>
      <c r="I25" s="4"/>
      <c r="J25" s="4"/>
      <c r="K25" s="4"/>
      <c r="L25" s="4"/>
      <c r="M25" s="4"/>
      <c r="N25" s="4"/>
      <c r="O25" s="4"/>
      <c r="P25" s="4"/>
      <c r="Q25" s="4"/>
      <c r="R25" s="4"/>
      <c r="S25" s="4"/>
      <c r="T25" s="4"/>
      <c r="U25" s="4"/>
      <c r="V25" s="4"/>
      <c r="W25" s="4"/>
    </row>
    <row r="26" spans="1:23" x14ac:dyDescent="0.25">
      <c r="A26" s="4"/>
      <c r="B26" s="4"/>
      <c r="C26" s="4"/>
      <c r="D26" s="4"/>
      <c r="E26" s="4"/>
      <c r="F26" s="4"/>
      <c r="G26" s="4"/>
      <c r="H26" s="4"/>
      <c r="I26" s="4"/>
      <c r="J26" s="4"/>
      <c r="K26" s="4"/>
      <c r="L26" s="4"/>
      <c r="M26" s="4"/>
      <c r="N26" s="4"/>
      <c r="O26" s="4"/>
      <c r="P26" s="4"/>
      <c r="Q26" s="4"/>
      <c r="R26" s="4"/>
      <c r="S26" s="4"/>
      <c r="T26" s="4"/>
      <c r="U26" s="4"/>
      <c r="V26" s="4"/>
      <c r="W26" s="4"/>
    </row>
    <row r="27" spans="1:23" x14ac:dyDescent="0.25">
      <c r="A27" s="4"/>
      <c r="B27" s="4"/>
      <c r="C27" s="4"/>
      <c r="D27" s="4"/>
      <c r="E27" s="4"/>
      <c r="F27" s="4"/>
      <c r="G27" s="4"/>
      <c r="H27" s="4"/>
      <c r="I27" s="4"/>
      <c r="J27" s="4"/>
      <c r="K27" s="4"/>
      <c r="L27" s="4"/>
      <c r="M27" s="4"/>
      <c r="N27" s="4"/>
      <c r="O27" s="4"/>
      <c r="P27" s="4"/>
      <c r="Q27" s="4"/>
      <c r="R27" s="4"/>
      <c r="S27" s="4"/>
      <c r="T27" s="4"/>
      <c r="U27" s="4"/>
      <c r="V27" s="4"/>
      <c r="W27" s="4"/>
    </row>
    <row r="28" spans="1:23" x14ac:dyDescent="0.25">
      <c r="A28" s="4"/>
      <c r="B28" s="4"/>
      <c r="C28" s="4"/>
      <c r="D28" s="4"/>
      <c r="E28" s="4"/>
      <c r="F28" s="4"/>
      <c r="G28" s="4"/>
      <c r="H28" s="4"/>
      <c r="I28" s="4"/>
      <c r="J28" s="4"/>
      <c r="K28" s="4"/>
      <c r="L28" s="4"/>
      <c r="M28" s="4"/>
      <c r="N28" s="4"/>
      <c r="O28" s="4"/>
      <c r="P28" s="4"/>
      <c r="Q28" s="4"/>
      <c r="R28" s="4"/>
      <c r="S28" s="4"/>
      <c r="T28" s="4"/>
      <c r="U28" s="4"/>
      <c r="V28" s="4"/>
      <c r="W28" s="4"/>
    </row>
    <row r="29" spans="1:23" x14ac:dyDescent="0.25">
      <c r="A29" s="4"/>
      <c r="B29" s="4"/>
      <c r="C29" s="4"/>
      <c r="D29" s="4"/>
      <c r="E29" s="4"/>
      <c r="F29" s="4"/>
      <c r="G29" s="4"/>
      <c r="H29" s="4"/>
      <c r="I29" s="4"/>
      <c r="J29" s="4"/>
      <c r="K29" s="4"/>
      <c r="L29" s="4"/>
      <c r="M29" s="4"/>
      <c r="N29" s="4"/>
      <c r="O29" s="4"/>
      <c r="P29" s="4"/>
      <c r="Q29" s="4"/>
      <c r="R29" s="4"/>
      <c r="S29" s="4"/>
      <c r="T29" s="4"/>
      <c r="U29" s="4"/>
      <c r="V29" s="4"/>
      <c r="W29" s="4"/>
    </row>
    <row r="30" spans="1:23" x14ac:dyDescent="0.25">
      <c r="A30" s="4"/>
      <c r="B30" s="4"/>
      <c r="C30" s="4"/>
      <c r="D30" s="4"/>
      <c r="E30" s="4"/>
      <c r="F30" s="4"/>
      <c r="G30" s="4"/>
      <c r="H30" s="4"/>
      <c r="I30" s="4"/>
      <c r="J30" s="4"/>
      <c r="K30" s="4"/>
      <c r="L30" s="4"/>
      <c r="M30" s="4"/>
      <c r="N30" s="4"/>
      <c r="O30" s="4"/>
      <c r="P30" s="4"/>
      <c r="Q30" s="4"/>
      <c r="R30" s="4"/>
      <c r="S30" s="4"/>
      <c r="T30" s="4"/>
      <c r="U30" s="4"/>
      <c r="V30" s="4"/>
      <c r="W30" s="4"/>
    </row>
    <row r="31" spans="1:23" x14ac:dyDescent="0.25">
      <c r="A31" s="4"/>
      <c r="B31" s="4"/>
      <c r="C31" s="4"/>
      <c r="D31" s="4"/>
      <c r="E31" s="4"/>
      <c r="F31" s="4"/>
      <c r="G31" s="4"/>
      <c r="H31" s="4"/>
      <c r="I31" s="4"/>
      <c r="J31" s="4"/>
      <c r="K31" s="4"/>
      <c r="L31" s="4"/>
      <c r="M31" s="4"/>
      <c r="N31" s="4"/>
      <c r="O31" s="4"/>
      <c r="P31" s="4"/>
      <c r="Q31" s="4"/>
      <c r="R31" s="4"/>
      <c r="S31" s="4"/>
      <c r="T31" s="4"/>
      <c r="U31" s="4"/>
      <c r="V31" s="4"/>
      <c r="W31" s="4"/>
    </row>
    <row r="35" spans="1:23" x14ac:dyDescent="0.25">
      <c r="A35" s="187"/>
      <c r="B35" s="187"/>
      <c r="C35" s="187"/>
      <c r="D35" s="4"/>
      <c r="E35" s="187"/>
      <c r="F35" s="187"/>
      <c r="G35" s="187"/>
      <c r="H35" s="4"/>
      <c r="I35" s="187"/>
      <c r="J35" s="187"/>
      <c r="K35" s="187"/>
      <c r="L35" s="4"/>
      <c r="M35" s="187"/>
      <c r="N35" s="187"/>
      <c r="O35" s="187"/>
      <c r="P35" s="4"/>
      <c r="Q35" s="187"/>
      <c r="R35" s="187"/>
      <c r="S35" s="187"/>
      <c r="T35" s="4"/>
      <c r="U35" s="187"/>
      <c r="V35" s="187"/>
      <c r="W35" s="187"/>
    </row>
    <row r="36" spans="1:23" x14ac:dyDescent="0.25">
      <c r="A36" s="4"/>
      <c r="B36" s="4"/>
      <c r="C36" s="4"/>
      <c r="D36" s="4"/>
      <c r="E36" s="4"/>
      <c r="F36" s="4"/>
      <c r="G36" s="4"/>
      <c r="H36" s="4"/>
      <c r="I36" s="4"/>
      <c r="J36" s="4"/>
      <c r="K36" s="4"/>
      <c r="L36" s="4"/>
      <c r="M36" s="4"/>
      <c r="N36" s="4"/>
      <c r="O36" s="4"/>
      <c r="P36" s="4"/>
      <c r="Q36" s="4"/>
      <c r="R36" s="4"/>
      <c r="S36" s="4"/>
      <c r="T36" s="4"/>
      <c r="U36" s="4"/>
      <c r="V36" s="4"/>
      <c r="W36" s="4"/>
    </row>
    <row r="37" spans="1:23" x14ac:dyDescent="0.25">
      <c r="A37" s="4"/>
      <c r="B37" s="4"/>
      <c r="C37" s="4"/>
      <c r="D37" s="4"/>
      <c r="E37" s="4"/>
      <c r="F37" s="4"/>
      <c r="G37" s="4"/>
      <c r="H37" s="4"/>
      <c r="I37" s="4"/>
      <c r="J37" s="4"/>
      <c r="K37" s="4"/>
      <c r="L37" s="4"/>
      <c r="M37" s="4"/>
      <c r="N37" s="4"/>
      <c r="O37" s="4"/>
      <c r="P37" s="4"/>
      <c r="Q37" s="4"/>
      <c r="R37" s="4"/>
      <c r="S37" s="4"/>
      <c r="T37" s="4"/>
      <c r="U37" s="4"/>
      <c r="V37" s="4"/>
      <c r="W37" s="4"/>
    </row>
    <row r="38" spans="1:23" x14ac:dyDescent="0.25">
      <c r="A38" s="4"/>
      <c r="B38" s="4"/>
      <c r="C38" s="4"/>
      <c r="D38" s="4"/>
      <c r="E38" s="4"/>
      <c r="F38" s="4"/>
      <c r="G38" s="4"/>
      <c r="H38" s="4"/>
      <c r="I38" s="4"/>
      <c r="J38" s="4"/>
      <c r="K38" s="4"/>
      <c r="L38" s="4"/>
      <c r="M38" s="4"/>
      <c r="N38" s="4"/>
      <c r="O38" s="4"/>
      <c r="P38" s="4"/>
      <c r="Q38" s="4"/>
      <c r="R38" s="4"/>
      <c r="S38" s="4"/>
      <c r="T38" s="4"/>
      <c r="U38" s="4"/>
      <c r="V38" s="4"/>
      <c r="W38" s="4"/>
    </row>
    <row r="39" spans="1:23" x14ac:dyDescent="0.25">
      <c r="A39" s="4"/>
      <c r="B39" s="4"/>
      <c r="C39" s="4"/>
      <c r="D39" s="4"/>
      <c r="E39" s="4"/>
      <c r="F39" s="4"/>
      <c r="G39" s="4"/>
      <c r="H39" s="4"/>
      <c r="I39" s="4"/>
      <c r="J39" s="4"/>
      <c r="K39" s="4"/>
      <c r="L39" s="4"/>
      <c r="M39" s="4"/>
      <c r="N39" s="4"/>
      <c r="O39" s="4"/>
      <c r="P39" s="4"/>
      <c r="Q39" s="4"/>
      <c r="R39" s="4"/>
      <c r="S39" s="4"/>
      <c r="T39" s="4"/>
      <c r="U39" s="4"/>
      <c r="V39" s="4"/>
      <c r="W39" s="4"/>
    </row>
    <row r="40" spans="1:23" x14ac:dyDescent="0.25">
      <c r="A40" s="4"/>
      <c r="B40" s="4"/>
      <c r="C40" s="4"/>
      <c r="D40" s="4"/>
      <c r="E40" s="4"/>
      <c r="F40" s="4"/>
      <c r="G40" s="4"/>
      <c r="H40" s="4"/>
      <c r="I40" s="4"/>
      <c r="J40" s="4"/>
      <c r="K40" s="4"/>
      <c r="L40" s="4"/>
      <c r="M40" s="4"/>
      <c r="N40" s="4"/>
      <c r="O40" s="4"/>
      <c r="P40" s="4"/>
      <c r="Q40" s="4"/>
      <c r="R40" s="4"/>
      <c r="S40" s="4"/>
      <c r="T40" s="4"/>
      <c r="U40" s="4"/>
      <c r="V40" s="4"/>
      <c r="W40" s="4"/>
    </row>
    <row r="41" spans="1:23" x14ac:dyDescent="0.25">
      <c r="A41" s="4"/>
      <c r="B41" s="4"/>
      <c r="C41" s="4"/>
      <c r="D41" s="4"/>
      <c r="E41" s="4"/>
      <c r="F41" s="4"/>
      <c r="G41" s="4"/>
      <c r="H41" s="4"/>
      <c r="I41" s="4"/>
      <c r="J41" s="4"/>
      <c r="K41" s="4"/>
      <c r="L41" s="4"/>
      <c r="M41" s="4"/>
      <c r="N41" s="4"/>
      <c r="O41" s="4"/>
      <c r="P41" s="4"/>
      <c r="Q41" s="4"/>
      <c r="R41" s="4"/>
      <c r="S41" s="4"/>
      <c r="T41" s="4"/>
      <c r="U41" s="4"/>
      <c r="V41" s="4"/>
      <c r="W41" s="4"/>
    </row>
    <row r="42" spans="1:23" x14ac:dyDescent="0.25">
      <c r="A42" s="4"/>
      <c r="B42" s="4"/>
      <c r="C42" s="4"/>
      <c r="D42" s="4"/>
      <c r="E42" s="4"/>
      <c r="F42" s="4"/>
      <c r="G42" s="4"/>
      <c r="H42" s="4"/>
      <c r="I42" s="4"/>
      <c r="J42" s="4"/>
      <c r="K42" s="4"/>
      <c r="L42" s="4"/>
      <c r="M42" s="4"/>
      <c r="N42" s="4"/>
      <c r="O42" s="4"/>
      <c r="P42" s="4"/>
      <c r="Q42" s="4"/>
      <c r="R42" s="4"/>
      <c r="S42" s="4"/>
      <c r="T42" s="4"/>
      <c r="U42" s="4"/>
      <c r="V42" s="4"/>
      <c r="W42" s="4"/>
    </row>
    <row r="43" spans="1:23" x14ac:dyDescent="0.25">
      <c r="A43" s="4"/>
      <c r="B43" s="4"/>
      <c r="C43" s="4"/>
      <c r="D43" s="4"/>
      <c r="E43" s="4"/>
      <c r="F43" s="4"/>
      <c r="G43" s="4"/>
      <c r="H43" s="4"/>
      <c r="I43" s="4"/>
      <c r="J43" s="4"/>
      <c r="K43" s="4"/>
      <c r="L43" s="4"/>
      <c r="M43" s="4"/>
      <c r="N43" s="4"/>
      <c r="O43" s="4"/>
      <c r="P43" s="4"/>
      <c r="Q43" s="4"/>
      <c r="R43" s="4"/>
      <c r="S43" s="4"/>
      <c r="T43" s="4"/>
      <c r="U43" s="4"/>
      <c r="V43" s="4"/>
      <c r="W43" s="4"/>
    </row>
    <row r="44" spans="1:23" x14ac:dyDescent="0.25">
      <c r="A44" s="4"/>
      <c r="B44" s="4"/>
      <c r="C44" s="4"/>
      <c r="D44" s="4"/>
      <c r="E44" s="4"/>
      <c r="F44" s="4"/>
      <c r="G44" s="4"/>
      <c r="H44" s="4"/>
      <c r="I44" s="4"/>
      <c r="J44" s="4"/>
      <c r="K44" s="4"/>
      <c r="L44" s="4"/>
      <c r="M44" s="4"/>
      <c r="N44" s="4"/>
      <c r="O44" s="4"/>
      <c r="P44" s="4"/>
      <c r="Q44" s="4"/>
      <c r="R44" s="4"/>
      <c r="S44" s="4"/>
      <c r="T44" s="4"/>
      <c r="U44" s="4"/>
      <c r="V44" s="4"/>
      <c r="W44" s="4"/>
    </row>
    <row r="45" spans="1:23" x14ac:dyDescent="0.25">
      <c r="A45" s="4"/>
      <c r="B45" s="4"/>
      <c r="C45" s="4"/>
      <c r="D45" s="4"/>
      <c r="E45" s="4"/>
      <c r="F45" s="4"/>
      <c r="G45" s="4"/>
      <c r="H45" s="4"/>
      <c r="I45" s="4"/>
      <c r="J45" s="4"/>
      <c r="K45" s="4"/>
      <c r="L45" s="4"/>
      <c r="M45" s="4"/>
      <c r="N45" s="4"/>
      <c r="O45" s="4"/>
      <c r="P45" s="4"/>
      <c r="Q45" s="4"/>
      <c r="R45" s="4"/>
      <c r="S45" s="4"/>
      <c r="T45" s="4"/>
      <c r="U45" s="4"/>
      <c r="V45" s="4"/>
      <c r="W45" s="4"/>
    </row>
    <row r="46" spans="1:23" x14ac:dyDescent="0.25">
      <c r="A46" s="4"/>
      <c r="B46" s="4"/>
      <c r="C46" s="4"/>
      <c r="D46" s="4"/>
      <c r="E46" s="4"/>
      <c r="F46" s="4"/>
      <c r="G46" s="4"/>
      <c r="H46" s="4"/>
      <c r="I46" s="4"/>
      <c r="J46" s="4"/>
      <c r="K46" s="4"/>
      <c r="L46" s="4"/>
      <c r="M46" s="4"/>
      <c r="N46" s="4"/>
      <c r="O46" s="4"/>
      <c r="P46" s="4"/>
      <c r="Q46" s="4"/>
      <c r="R46" s="4"/>
      <c r="S46" s="4"/>
      <c r="T46" s="4"/>
      <c r="U46" s="4"/>
      <c r="V46" s="4"/>
      <c r="W46" s="4"/>
    </row>
    <row r="50" spans="1:23" x14ac:dyDescent="0.25">
      <c r="A50" s="187" t="s">
        <v>87</v>
      </c>
      <c r="B50" s="187"/>
      <c r="C50" s="187"/>
      <c r="D50" s="4"/>
      <c r="E50" s="187" t="s">
        <v>87</v>
      </c>
      <c r="F50" s="187"/>
      <c r="G50" s="187"/>
      <c r="H50" s="4"/>
      <c r="I50" s="187" t="s">
        <v>87</v>
      </c>
      <c r="J50" s="187"/>
      <c r="K50" s="187"/>
      <c r="L50" s="4"/>
      <c r="M50" s="187" t="s">
        <v>87</v>
      </c>
      <c r="N50" s="187"/>
      <c r="O50" s="187"/>
      <c r="P50" s="4"/>
      <c r="Q50" s="187" t="s">
        <v>87</v>
      </c>
      <c r="R50" s="187"/>
      <c r="S50" s="187"/>
      <c r="T50" s="4"/>
      <c r="U50" s="187" t="s">
        <v>87</v>
      </c>
      <c r="V50" s="187"/>
      <c r="W50" s="187"/>
    </row>
    <row r="51" spans="1:23" x14ac:dyDescent="0.25">
      <c r="A51" s="4" t="s">
        <v>86</v>
      </c>
      <c r="B51" s="4" t="s">
        <v>73</v>
      </c>
      <c r="C51" s="4" t="s">
        <v>85</v>
      </c>
      <c r="D51" s="4"/>
      <c r="E51" s="4" t="s">
        <v>86</v>
      </c>
      <c r="F51" s="4" t="s">
        <v>73</v>
      </c>
      <c r="G51" s="4" t="s">
        <v>85</v>
      </c>
      <c r="H51" s="4"/>
      <c r="I51" s="4" t="s">
        <v>86</v>
      </c>
      <c r="J51" s="4" t="s">
        <v>73</v>
      </c>
      <c r="K51" s="4" t="s">
        <v>85</v>
      </c>
      <c r="L51" s="4"/>
      <c r="M51" s="4" t="s">
        <v>86</v>
      </c>
      <c r="N51" s="4" t="s">
        <v>73</v>
      </c>
      <c r="O51" s="4" t="s">
        <v>85</v>
      </c>
      <c r="P51" s="4"/>
      <c r="Q51" s="4" t="s">
        <v>86</v>
      </c>
      <c r="R51" s="4" t="s">
        <v>73</v>
      </c>
      <c r="S51" s="4" t="s">
        <v>85</v>
      </c>
      <c r="T51" s="4"/>
      <c r="U51" s="4" t="s">
        <v>86</v>
      </c>
      <c r="V51" s="4" t="s">
        <v>73</v>
      </c>
      <c r="W51" s="4" t="s">
        <v>85</v>
      </c>
    </row>
    <row r="52" spans="1:23" x14ac:dyDescent="0.25">
      <c r="A52" s="4">
        <v>1</v>
      </c>
      <c r="B52" s="4"/>
      <c r="C52" s="4"/>
      <c r="D52" s="4"/>
      <c r="E52" s="4">
        <v>1</v>
      </c>
      <c r="F52" s="4"/>
      <c r="G52" s="4"/>
      <c r="H52" s="4"/>
      <c r="I52" s="4">
        <v>1</v>
      </c>
      <c r="J52" s="4"/>
      <c r="K52" s="4"/>
      <c r="L52" s="4"/>
      <c r="M52" s="4">
        <v>1</v>
      </c>
      <c r="N52" s="4"/>
      <c r="O52" s="4"/>
      <c r="P52" s="4"/>
      <c r="Q52" s="4">
        <v>1</v>
      </c>
      <c r="R52" s="4"/>
      <c r="S52" s="4"/>
      <c r="T52" s="4"/>
      <c r="U52" s="4">
        <v>1</v>
      </c>
      <c r="V52" s="4"/>
      <c r="W52" s="4"/>
    </row>
    <row r="53" spans="1:23" x14ac:dyDescent="0.25">
      <c r="A53" s="4">
        <v>2</v>
      </c>
      <c r="B53" s="4"/>
      <c r="C53" s="4"/>
      <c r="D53" s="4"/>
      <c r="E53" s="4">
        <v>2</v>
      </c>
      <c r="F53" s="4"/>
      <c r="G53" s="4"/>
      <c r="H53" s="4"/>
      <c r="I53" s="4">
        <v>2</v>
      </c>
      <c r="J53" s="4"/>
      <c r="K53" s="4"/>
      <c r="L53" s="4"/>
      <c r="M53" s="4">
        <v>2</v>
      </c>
      <c r="N53" s="4"/>
      <c r="O53" s="4"/>
      <c r="P53" s="4"/>
      <c r="Q53" s="4">
        <v>2</v>
      </c>
      <c r="R53" s="4"/>
      <c r="S53" s="4"/>
      <c r="T53" s="4"/>
      <c r="U53" s="4">
        <v>2</v>
      </c>
      <c r="V53" s="4"/>
      <c r="W53" s="4"/>
    </row>
    <row r="54" spans="1:23" x14ac:dyDescent="0.25">
      <c r="A54" s="4">
        <v>3</v>
      </c>
      <c r="B54" s="4"/>
      <c r="C54" s="4"/>
      <c r="D54" s="4"/>
      <c r="E54" s="4">
        <v>3</v>
      </c>
      <c r="F54" s="4"/>
      <c r="G54" s="4"/>
      <c r="H54" s="4"/>
      <c r="I54" s="4">
        <v>3</v>
      </c>
      <c r="J54" s="4"/>
      <c r="K54" s="4"/>
      <c r="L54" s="4"/>
      <c r="M54" s="4">
        <v>3</v>
      </c>
      <c r="N54" s="4"/>
      <c r="O54" s="4"/>
      <c r="P54" s="4"/>
      <c r="Q54" s="4">
        <v>3</v>
      </c>
      <c r="R54" s="4"/>
      <c r="S54" s="4"/>
      <c r="T54" s="4"/>
      <c r="U54" s="4">
        <v>3</v>
      </c>
      <c r="V54" s="4"/>
      <c r="W54" s="4"/>
    </row>
    <row r="55" spans="1:23" x14ac:dyDescent="0.25">
      <c r="A55" s="4">
        <v>4</v>
      </c>
      <c r="B55" s="4"/>
      <c r="C55" s="4"/>
      <c r="D55" s="4"/>
      <c r="E55" s="4">
        <v>4</v>
      </c>
      <c r="F55" s="4"/>
      <c r="G55" s="4"/>
      <c r="H55" s="4"/>
      <c r="I55" s="4">
        <v>4</v>
      </c>
      <c r="J55" s="4"/>
      <c r="K55" s="4"/>
      <c r="L55" s="4"/>
      <c r="M55" s="4">
        <v>4</v>
      </c>
      <c r="N55" s="4"/>
      <c r="O55" s="4"/>
      <c r="P55" s="4"/>
      <c r="Q55" s="4">
        <v>4</v>
      </c>
      <c r="R55" s="4"/>
      <c r="S55" s="4"/>
      <c r="T55" s="4"/>
      <c r="U55" s="4">
        <v>4</v>
      </c>
      <c r="V55" s="4"/>
      <c r="W55" s="4"/>
    </row>
    <row r="56" spans="1:23" x14ac:dyDescent="0.25">
      <c r="A56" s="4">
        <v>5</v>
      </c>
      <c r="B56" s="4"/>
      <c r="C56" s="4"/>
      <c r="D56" s="4"/>
      <c r="E56" s="4">
        <v>5</v>
      </c>
      <c r="F56" s="4"/>
      <c r="G56" s="4"/>
      <c r="H56" s="4"/>
      <c r="I56" s="4">
        <v>5</v>
      </c>
      <c r="J56" s="4"/>
      <c r="K56" s="4"/>
      <c r="L56" s="4"/>
      <c r="M56" s="4">
        <v>5</v>
      </c>
      <c r="N56" s="4"/>
      <c r="O56" s="4"/>
      <c r="P56" s="4"/>
      <c r="Q56" s="4">
        <v>5</v>
      </c>
      <c r="R56" s="4"/>
      <c r="S56" s="4"/>
      <c r="T56" s="4"/>
      <c r="U56" s="4">
        <v>5</v>
      </c>
      <c r="V56" s="4"/>
      <c r="W56" s="4"/>
    </row>
    <row r="57" spans="1:23" x14ac:dyDescent="0.25">
      <c r="A57" s="4">
        <v>6</v>
      </c>
      <c r="B57" s="4"/>
      <c r="C57" s="4"/>
      <c r="D57" s="4"/>
      <c r="E57" s="4">
        <v>6</v>
      </c>
      <c r="F57" s="4"/>
      <c r="G57" s="4"/>
      <c r="H57" s="4"/>
      <c r="I57" s="4">
        <v>6</v>
      </c>
      <c r="J57" s="4"/>
      <c r="K57" s="4"/>
      <c r="L57" s="4"/>
      <c r="M57" s="4">
        <v>6</v>
      </c>
      <c r="N57" s="4"/>
      <c r="O57" s="4"/>
      <c r="P57" s="4"/>
      <c r="Q57" s="4">
        <v>6</v>
      </c>
      <c r="R57" s="4"/>
      <c r="S57" s="4"/>
      <c r="T57" s="4"/>
      <c r="U57" s="4">
        <v>6</v>
      </c>
      <c r="V57" s="4"/>
      <c r="W57" s="4"/>
    </row>
    <row r="58" spans="1:23" x14ac:dyDescent="0.25">
      <c r="A58" s="4">
        <v>7</v>
      </c>
      <c r="B58" s="4"/>
      <c r="C58" s="4"/>
      <c r="D58" s="4"/>
      <c r="E58" s="4">
        <v>7</v>
      </c>
      <c r="F58" s="4"/>
      <c r="G58" s="4"/>
      <c r="H58" s="4"/>
      <c r="I58" s="4">
        <v>7</v>
      </c>
      <c r="J58" s="4"/>
      <c r="K58" s="4"/>
      <c r="L58" s="4"/>
      <c r="M58" s="4">
        <v>7</v>
      </c>
      <c r="N58" s="4"/>
      <c r="O58" s="4"/>
      <c r="P58" s="4"/>
      <c r="Q58" s="4">
        <v>7</v>
      </c>
      <c r="R58" s="4"/>
      <c r="S58" s="4"/>
      <c r="T58" s="4"/>
      <c r="U58" s="4">
        <v>7</v>
      </c>
      <c r="V58" s="4"/>
      <c r="W58" s="4"/>
    </row>
    <row r="59" spans="1:23" x14ac:dyDescent="0.25">
      <c r="A59" s="4">
        <v>8</v>
      </c>
      <c r="B59" s="4"/>
      <c r="C59" s="4"/>
      <c r="D59" s="4"/>
      <c r="E59" s="4">
        <v>8</v>
      </c>
      <c r="F59" s="4"/>
      <c r="G59" s="4"/>
      <c r="H59" s="4"/>
      <c r="I59" s="4">
        <v>8</v>
      </c>
      <c r="J59" s="4"/>
      <c r="K59" s="4"/>
      <c r="L59" s="4"/>
      <c r="M59" s="4">
        <v>8</v>
      </c>
      <c r="N59" s="4"/>
      <c r="O59" s="4"/>
      <c r="P59" s="4"/>
      <c r="Q59" s="4">
        <v>8</v>
      </c>
      <c r="R59" s="4"/>
      <c r="S59" s="4"/>
      <c r="T59" s="4"/>
      <c r="U59" s="4">
        <v>8</v>
      </c>
      <c r="V59" s="4"/>
      <c r="W59" s="4"/>
    </row>
    <row r="60" spans="1:23" x14ac:dyDescent="0.25">
      <c r="A60" s="4">
        <v>9</v>
      </c>
      <c r="B60" s="4"/>
      <c r="C60" s="4"/>
      <c r="D60" s="4"/>
      <c r="E60" s="4">
        <v>9</v>
      </c>
      <c r="F60" s="4"/>
      <c r="G60" s="4"/>
      <c r="H60" s="4"/>
      <c r="I60" s="4">
        <v>9</v>
      </c>
      <c r="J60" s="4"/>
      <c r="K60" s="4"/>
      <c r="L60" s="4"/>
      <c r="M60" s="4">
        <v>9</v>
      </c>
      <c r="N60" s="4"/>
      <c r="O60" s="4"/>
      <c r="P60" s="4"/>
      <c r="Q60" s="4">
        <v>9</v>
      </c>
      <c r="R60" s="4"/>
      <c r="S60" s="4"/>
      <c r="T60" s="4"/>
      <c r="U60" s="4">
        <v>9</v>
      </c>
      <c r="V60" s="4"/>
      <c r="W60" s="4"/>
    </row>
    <row r="61" spans="1:23" x14ac:dyDescent="0.25">
      <c r="A61" s="4">
        <v>10</v>
      </c>
      <c r="B61" s="4"/>
      <c r="C61" s="4"/>
      <c r="D61" s="4"/>
      <c r="E61" s="4">
        <v>10</v>
      </c>
      <c r="F61" s="4"/>
      <c r="G61" s="4"/>
      <c r="H61" s="4"/>
      <c r="I61" s="4">
        <v>10</v>
      </c>
      <c r="J61" s="4"/>
      <c r="K61" s="4"/>
      <c r="L61" s="4"/>
      <c r="M61" s="4">
        <v>10</v>
      </c>
      <c r="N61" s="4"/>
      <c r="O61" s="4"/>
      <c r="P61" s="4"/>
      <c r="Q61" s="4">
        <v>10</v>
      </c>
      <c r="R61" s="4"/>
      <c r="S61" s="4"/>
      <c r="T61" s="4"/>
      <c r="U61" s="4">
        <v>10</v>
      </c>
      <c r="V61" s="4"/>
      <c r="W61" s="4"/>
    </row>
  </sheetData>
  <mergeCells count="24">
    <mergeCell ref="U35:W35"/>
    <mergeCell ref="A50:C50"/>
    <mergeCell ref="E50:G50"/>
    <mergeCell ref="I50:K50"/>
    <mergeCell ref="M50:O50"/>
    <mergeCell ref="Q50:S50"/>
    <mergeCell ref="U50:W50"/>
    <mergeCell ref="A35:C35"/>
    <mergeCell ref="E35:G35"/>
    <mergeCell ref="I35:K35"/>
    <mergeCell ref="M35:O35"/>
    <mergeCell ref="Q35:S35"/>
    <mergeCell ref="A4:E4"/>
    <mergeCell ref="U5:W5"/>
    <mergeCell ref="A20:C20"/>
    <mergeCell ref="E20:G20"/>
    <mergeCell ref="I20:K20"/>
    <mergeCell ref="M20:O20"/>
    <mergeCell ref="Q20:S20"/>
    <mergeCell ref="U20:W20"/>
    <mergeCell ref="A5:C5"/>
    <mergeCell ref="I5:K5"/>
    <mergeCell ref="M5:O5"/>
    <mergeCell ref="Q5:S5"/>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workbookViewId="0">
      <selection activeCell="M16" sqref="M16"/>
    </sheetView>
  </sheetViews>
  <sheetFormatPr baseColWidth="10" defaultColWidth="11.42578125" defaultRowHeight="15" x14ac:dyDescent="0.25"/>
  <cols>
    <col min="1" max="1" width="26.140625" style="4" bestFit="1" customWidth="1"/>
    <col min="2" max="2" width="14" style="4" customWidth="1"/>
    <col min="3" max="16384" width="11.42578125" style="4"/>
  </cols>
  <sheetData>
    <row r="1" spans="1:11" x14ac:dyDescent="0.25">
      <c r="B1" s="4" t="s">
        <v>226</v>
      </c>
      <c r="C1" s="4" t="s">
        <v>227</v>
      </c>
      <c r="D1" s="4" t="s">
        <v>228</v>
      </c>
    </row>
    <row r="2" spans="1:11" x14ac:dyDescent="0.25">
      <c r="A2" s="4" t="s">
        <v>229</v>
      </c>
      <c r="B2" s="4" t="s">
        <v>230</v>
      </c>
      <c r="C2" s="4" t="s">
        <v>230</v>
      </c>
      <c r="D2" s="4" t="s">
        <v>230</v>
      </c>
    </row>
    <row r="3" spans="1:11" x14ac:dyDescent="0.25">
      <c r="A3" s="4" t="s">
        <v>231</v>
      </c>
      <c r="B3" s="4" t="s">
        <v>230</v>
      </c>
      <c r="C3" s="4" t="s">
        <v>134</v>
      </c>
    </row>
    <row r="6" spans="1:11" x14ac:dyDescent="0.25">
      <c r="B6" s="4">
        <v>2017</v>
      </c>
      <c r="C6" s="4">
        <v>2018</v>
      </c>
      <c r="D6" s="4">
        <v>2019</v>
      </c>
      <c r="I6" s="4">
        <v>2018</v>
      </c>
      <c r="J6" s="4">
        <v>2019</v>
      </c>
    </row>
    <row r="7" spans="1:11" x14ac:dyDescent="0.25">
      <c r="B7" s="4" t="s">
        <v>230</v>
      </c>
      <c r="C7" s="4" t="s">
        <v>230</v>
      </c>
      <c r="D7" s="4" t="s">
        <v>230</v>
      </c>
      <c r="I7" s="4" t="s">
        <v>230</v>
      </c>
      <c r="J7" s="4" t="s">
        <v>134</v>
      </c>
    </row>
    <row r="8" spans="1:11" x14ac:dyDescent="0.25">
      <c r="A8" s="4" t="s">
        <v>360</v>
      </c>
      <c r="B8" s="4">
        <v>11.9</v>
      </c>
      <c r="C8" s="4">
        <v>13</v>
      </c>
      <c r="D8" s="4">
        <v>11.4</v>
      </c>
      <c r="I8" s="4">
        <v>13.7</v>
      </c>
      <c r="J8" s="4">
        <v>4.3150000000000004</v>
      </c>
    </row>
    <row r="9" spans="1:11" x14ac:dyDescent="0.25">
      <c r="A9" s="4" t="s">
        <v>401</v>
      </c>
      <c r="B9" s="158">
        <v>174</v>
      </c>
      <c r="C9" s="158">
        <v>174</v>
      </c>
      <c r="D9" s="158">
        <v>174</v>
      </c>
      <c r="E9" s="158"/>
      <c r="F9" s="158"/>
      <c r="G9" s="158"/>
      <c r="H9" s="158"/>
      <c r="I9" s="158">
        <v>174</v>
      </c>
      <c r="J9" s="158">
        <f>J10/J8</f>
        <v>337.42757821552721</v>
      </c>
    </row>
    <row r="10" spans="1:11" x14ac:dyDescent="0.25">
      <c r="A10" s="4" t="s">
        <v>402</v>
      </c>
      <c r="B10" s="4">
        <f>B8*B9</f>
        <v>2070.6</v>
      </c>
      <c r="C10" s="4">
        <f t="shared" ref="C10:D10" si="0">C8*C9</f>
        <v>2262</v>
      </c>
      <c r="D10" s="4">
        <f t="shared" si="0"/>
        <v>1983.6000000000001</v>
      </c>
      <c r="I10" s="4">
        <f t="shared" ref="I10" si="1">I8*I9</f>
        <v>2383.7999999999997</v>
      </c>
      <c r="J10" s="4">
        <v>1456</v>
      </c>
    </row>
    <row r="11" spans="1:11" x14ac:dyDescent="0.25">
      <c r="A11" s="134" t="s">
        <v>403</v>
      </c>
    </row>
    <row r="12" spans="1:11" x14ac:dyDescent="0.25">
      <c r="A12" s="4" t="s">
        <v>404</v>
      </c>
      <c r="B12" s="4">
        <v>1980</v>
      </c>
      <c r="C12" s="4">
        <v>1730</v>
      </c>
      <c r="D12" s="4">
        <v>1730</v>
      </c>
      <c r="I12" s="4">
        <v>1620</v>
      </c>
      <c r="J12" s="4">
        <v>1095</v>
      </c>
    </row>
    <row r="13" spans="1:11" x14ac:dyDescent="0.25">
      <c r="A13" s="4" t="s">
        <v>405</v>
      </c>
      <c r="B13" s="4">
        <f>B10-B12</f>
        <v>90.599999999999909</v>
      </c>
      <c r="C13" s="4">
        <f t="shared" ref="C13:D13" si="2">C10-C12</f>
        <v>532</v>
      </c>
      <c r="D13" s="4">
        <f t="shared" si="2"/>
        <v>253.60000000000014</v>
      </c>
      <c r="I13" s="4">
        <f t="shared" ref="I13" si="3">I10-I12</f>
        <v>763.79999999999973</v>
      </c>
      <c r="J13" s="4">
        <f t="shared" ref="J13" si="4">J10-J12</f>
        <v>361</v>
      </c>
    </row>
    <row r="15" spans="1:11" x14ac:dyDescent="0.25">
      <c r="A15" s="4" t="s">
        <v>406</v>
      </c>
      <c r="B15" s="158">
        <f>AVERAGE(B13:D13)</f>
        <v>292.06666666666666</v>
      </c>
      <c r="C15" s="158"/>
      <c r="D15" s="158"/>
      <c r="E15" s="158"/>
      <c r="F15" s="158"/>
      <c r="G15" s="158"/>
      <c r="H15" s="158"/>
      <c r="I15" s="158">
        <f>AVERAGE(I13:J13)</f>
        <v>562.39999999999986</v>
      </c>
    </row>
    <row r="17" spans="1:10" x14ac:dyDescent="0.25">
      <c r="A17" s="4" t="s">
        <v>31</v>
      </c>
    </row>
    <row r="18" spans="1:10" x14ac:dyDescent="0.25">
      <c r="A18" s="4" t="s">
        <v>232</v>
      </c>
      <c r="B18" s="4">
        <v>200</v>
      </c>
      <c r="C18" s="4">
        <v>200</v>
      </c>
      <c r="D18" s="4">
        <v>200</v>
      </c>
      <c r="I18" s="4">
        <v>250</v>
      </c>
      <c r="J18" s="4">
        <v>150</v>
      </c>
    </row>
    <row r="19" spans="1:10" x14ac:dyDescent="0.25">
      <c r="A19" s="4" t="s">
        <v>233</v>
      </c>
      <c r="B19" s="4">
        <v>450</v>
      </c>
      <c r="C19" s="4">
        <v>300</v>
      </c>
      <c r="D19" s="4">
        <v>300</v>
      </c>
      <c r="I19" s="4">
        <v>370</v>
      </c>
      <c r="J19" s="4">
        <v>70</v>
      </c>
    </row>
    <row r="20" spans="1:10" x14ac:dyDescent="0.25">
      <c r="A20" s="4" t="s">
        <v>234</v>
      </c>
      <c r="B20" s="4">
        <v>230</v>
      </c>
      <c r="C20" s="4">
        <v>230</v>
      </c>
      <c r="D20" s="4">
        <v>230</v>
      </c>
      <c r="I20" s="4">
        <v>100</v>
      </c>
      <c r="J20" s="4">
        <v>75</v>
      </c>
    </row>
    <row r="21" spans="1:10" x14ac:dyDescent="0.25">
      <c r="A21" s="4" t="s">
        <v>407</v>
      </c>
      <c r="B21" s="4">
        <v>800</v>
      </c>
      <c r="C21" s="4">
        <v>700</v>
      </c>
      <c r="D21" s="4">
        <v>700</v>
      </c>
      <c r="I21" s="4">
        <v>600</v>
      </c>
      <c r="J21" s="4">
        <v>600</v>
      </c>
    </row>
    <row r="22" spans="1:10" x14ac:dyDescent="0.25">
      <c r="A22" s="4" t="s">
        <v>408</v>
      </c>
      <c r="B22" s="4">
        <v>300</v>
      </c>
      <c r="C22" s="4">
        <v>300</v>
      </c>
      <c r="D22" s="4">
        <v>300</v>
      </c>
      <c r="I22" s="4">
        <v>300</v>
      </c>
      <c r="J22" s="4">
        <v>200</v>
      </c>
    </row>
    <row r="23" spans="1:10" x14ac:dyDescent="0.25">
      <c r="A23" s="4" t="s">
        <v>409</v>
      </c>
    </row>
    <row r="24" spans="1:10" x14ac:dyDescent="0.25">
      <c r="A24" s="4" t="s">
        <v>410</v>
      </c>
    </row>
    <row r="25" spans="1:10" x14ac:dyDescent="0.25">
      <c r="A25" s="4" t="s">
        <v>411</v>
      </c>
      <c r="B25" s="4">
        <f>SUM(B18:B22)</f>
        <v>1980</v>
      </c>
      <c r="C25" s="4">
        <f>SUM(C18:C22)</f>
        <v>1730</v>
      </c>
      <c r="D25" s="4">
        <f>SUM(D18:D22)</f>
        <v>1730</v>
      </c>
      <c r="I25" s="4">
        <f>SUM(I18:I22)</f>
        <v>1620</v>
      </c>
      <c r="J25" s="4">
        <f>SUM(J18:J22)</f>
        <v>1095</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A10" workbookViewId="0">
      <selection activeCell="I31" sqref="I31"/>
    </sheetView>
  </sheetViews>
  <sheetFormatPr baseColWidth="10" defaultColWidth="11.42578125" defaultRowHeight="15" x14ac:dyDescent="0.25"/>
  <cols>
    <col min="1" max="1" width="29.5703125" style="4" customWidth="1"/>
    <col min="2" max="7" width="11.42578125" style="4"/>
    <col min="8" max="8" width="37" style="4" bestFit="1" customWidth="1"/>
    <col min="9" max="9" width="15.140625" style="4" customWidth="1"/>
    <col min="10" max="16384" width="11.42578125" style="4"/>
  </cols>
  <sheetData>
    <row r="1" spans="1:10" x14ac:dyDescent="0.25">
      <c r="B1" s="4" t="s">
        <v>226</v>
      </c>
      <c r="C1" s="4" t="s">
        <v>227</v>
      </c>
      <c r="D1" s="4" t="s">
        <v>228</v>
      </c>
    </row>
    <row r="2" spans="1:10" x14ac:dyDescent="0.25">
      <c r="A2" s="4" t="s">
        <v>229</v>
      </c>
      <c r="B2" s="4" t="s">
        <v>230</v>
      </c>
      <c r="C2" s="4" t="s">
        <v>230</v>
      </c>
      <c r="D2" s="4" t="s">
        <v>230</v>
      </c>
    </row>
    <row r="3" spans="1:10" x14ac:dyDescent="0.25">
      <c r="A3" s="4" t="s">
        <v>231</v>
      </c>
      <c r="B3" s="4" t="s">
        <v>235</v>
      </c>
      <c r="C3" s="4" t="s">
        <v>134</v>
      </c>
    </row>
    <row r="7" spans="1:10" x14ac:dyDescent="0.25">
      <c r="A7" s="161"/>
      <c r="B7" s="159" t="s">
        <v>230</v>
      </c>
      <c r="C7" s="159" t="s">
        <v>230</v>
      </c>
      <c r="D7" s="159" t="s">
        <v>230</v>
      </c>
      <c r="E7" s="159"/>
      <c r="F7" s="159"/>
      <c r="G7" s="159"/>
      <c r="H7" s="163"/>
      <c r="I7" s="159" t="s">
        <v>235</v>
      </c>
      <c r="J7" s="159" t="s">
        <v>134</v>
      </c>
    </row>
    <row r="8" spans="1:10" x14ac:dyDescent="0.25">
      <c r="A8" s="162" t="s">
        <v>360</v>
      </c>
      <c r="B8" s="160">
        <v>11.9</v>
      </c>
      <c r="C8" s="160">
        <v>13</v>
      </c>
      <c r="D8" s="160">
        <v>11.4</v>
      </c>
      <c r="E8" s="160"/>
      <c r="F8" s="160"/>
      <c r="G8" s="160"/>
      <c r="H8" s="162" t="s">
        <v>360</v>
      </c>
      <c r="I8" s="160">
        <v>13.7</v>
      </c>
      <c r="J8" s="160">
        <v>4.3150000000000004</v>
      </c>
    </row>
    <row r="9" spans="1:10" x14ac:dyDescent="0.25">
      <c r="A9" s="163" t="s">
        <v>265</v>
      </c>
      <c r="H9" s="163" t="s">
        <v>265</v>
      </c>
    </row>
    <row r="10" spans="1:10" x14ac:dyDescent="0.25">
      <c r="A10" s="161" t="s">
        <v>32</v>
      </c>
      <c r="B10" s="4" t="s">
        <v>236</v>
      </c>
      <c r="C10" s="4" t="s">
        <v>236</v>
      </c>
      <c r="D10" s="4" t="s">
        <v>236</v>
      </c>
      <c r="H10" s="161" t="s">
        <v>32</v>
      </c>
      <c r="I10" s="4" t="s">
        <v>237</v>
      </c>
      <c r="J10" s="4" t="s">
        <v>141</v>
      </c>
    </row>
    <row r="11" spans="1:10" x14ac:dyDescent="0.25">
      <c r="A11" s="161" t="s">
        <v>238</v>
      </c>
      <c r="B11" s="151">
        <v>0.18</v>
      </c>
      <c r="C11" s="151">
        <v>0.18</v>
      </c>
      <c r="D11" s="151">
        <v>0.18</v>
      </c>
      <c r="H11" s="161" t="s">
        <v>238</v>
      </c>
      <c r="I11" s="4" t="s">
        <v>239</v>
      </c>
      <c r="J11" s="153">
        <v>7.0000000000000007E-2</v>
      </c>
    </row>
    <row r="12" spans="1:10" x14ac:dyDescent="0.25">
      <c r="A12" s="161" t="s">
        <v>413</v>
      </c>
      <c r="B12" s="4">
        <v>300</v>
      </c>
      <c r="C12" s="4">
        <v>300</v>
      </c>
      <c r="D12" s="4">
        <v>300</v>
      </c>
      <c r="H12" s="161" t="s">
        <v>413</v>
      </c>
    </row>
    <row r="13" spans="1:10" x14ac:dyDescent="0.25">
      <c r="A13" s="161" t="s">
        <v>414</v>
      </c>
      <c r="B13" s="4">
        <f>B11*B12</f>
        <v>54</v>
      </c>
      <c r="C13" s="4">
        <f>C11*C12</f>
        <v>54</v>
      </c>
      <c r="D13" s="4">
        <f>D11*D12</f>
        <v>54</v>
      </c>
      <c r="H13" s="161" t="s">
        <v>414</v>
      </c>
      <c r="I13" s="4">
        <v>36</v>
      </c>
      <c r="J13" s="4">
        <v>1.4</v>
      </c>
    </row>
    <row r="14" spans="1:10" x14ac:dyDescent="0.25">
      <c r="A14" s="161"/>
      <c r="H14" s="161"/>
    </row>
    <row r="15" spans="1:10" x14ac:dyDescent="0.25">
      <c r="A15" s="161" t="s">
        <v>32</v>
      </c>
      <c r="B15" s="4" t="s">
        <v>19</v>
      </c>
      <c r="H15" s="161" t="s">
        <v>32</v>
      </c>
      <c r="I15" s="4" t="s">
        <v>240</v>
      </c>
    </row>
    <row r="16" spans="1:10" x14ac:dyDescent="0.25">
      <c r="A16" s="161" t="s">
        <v>238</v>
      </c>
      <c r="B16" s="151">
        <v>4.0000000000000001E-3</v>
      </c>
      <c r="C16" s="151"/>
      <c r="D16" s="151"/>
      <c r="H16" s="161" t="s">
        <v>238</v>
      </c>
      <c r="I16" s="153">
        <v>0.28000000000000003</v>
      </c>
    </row>
    <row r="17" spans="1:10" x14ac:dyDescent="0.25">
      <c r="A17" s="161" t="s">
        <v>413</v>
      </c>
      <c r="B17" s="4">
        <v>20000</v>
      </c>
      <c r="H17" s="161" t="s">
        <v>413</v>
      </c>
      <c r="I17" s="4">
        <v>250</v>
      </c>
    </row>
    <row r="18" spans="1:10" x14ac:dyDescent="0.25">
      <c r="A18" s="161" t="s">
        <v>414</v>
      </c>
      <c r="B18" s="4">
        <f>B16*B17</f>
        <v>80</v>
      </c>
      <c r="H18" s="161" t="s">
        <v>414</v>
      </c>
      <c r="I18" s="4">
        <f>I16*I17</f>
        <v>70</v>
      </c>
    </row>
    <row r="19" spans="1:10" x14ac:dyDescent="0.25">
      <c r="A19" s="161"/>
      <c r="H19" s="161"/>
    </row>
    <row r="20" spans="1:10" x14ac:dyDescent="0.25">
      <c r="A20" s="161" t="s">
        <v>32</v>
      </c>
      <c r="B20" s="4" t="s">
        <v>124</v>
      </c>
      <c r="C20" s="4" t="s">
        <v>124</v>
      </c>
      <c r="D20" s="4" t="s">
        <v>124</v>
      </c>
      <c r="H20" s="161" t="s">
        <v>32</v>
      </c>
      <c r="I20" s="4" t="s">
        <v>124</v>
      </c>
    </row>
    <row r="21" spans="1:10" x14ac:dyDescent="0.25">
      <c r="A21" s="161" t="s">
        <v>238</v>
      </c>
      <c r="B21" s="153">
        <v>0.46</v>
      </c>
      <c r="C21" s="153">
        <v>0.46</v>
      </c>
      <c r="D21" s="153">
        <v>0.46</v>
      </c>
      <c r="H21" s="161" t="s">
        <v>238</v>
      </c>
      <c r="I21" s="153">
        <v>0.46</v>
      </c>
    </row>
    <row r="22" spans="1:10" x14ac:dyDescent="0.25">
      <c r="A22" s="161" t="s">
        <v>413</v>
      </c>
      <c r="H22" s="161" t="s">
        <v>413</v>
      </c>
      <c r="I22" s="4">
        <v>300</v>
      </c>
    </row>
    <row r="23" spans="1:10" x14ac:dyDescent="0.25">
      <c r="A23" s="161" t="s">
        <v>414</v>
      </c>
      <c r="B23" s="4">
        <f>2*92</f>
        <v>184</v>
      </c>
      <c r="C23" s="4">
        <f>2*92</f>
        <v>184</v>
      </c>
      <c r="D23" s="4">
        <f>2*92</f>
        <v>184</v>
      </c>
      <c r="H23" s="161" t="s">
        <v>414</v>
      </c>
      <c r="I23" s="4">
        <f>I21*I22</f>
        <v>138</v>
      </c>
    </row>
    <row r="24" spans="1:10" x14ac:dyDescent="0.25">
      <c r="A24" s="161"/>
      <c r="H24" s="161"/>
    </row>
    <row r="25" spans="1:10" x14ac:dyDescent="0.25">
      <c r="A25" s="161" t="s">
        <v>415</v>
      </c>
      <c r="B25" s="4">
        <f>SUM(B13,B18,B23)</f>
        <v>318</v>
      </c>
      <c r="C25" s="4">
        <f>SUM(C13,C18,C23)</f>
        <v>238</v>
      </c>
      <c r="D25" s="4">
        <f>SUM(D13,D18,D23)</f>
        <v>238</v>
      </c>
      <c r="H25" s="161" t="s">
        <v>415</v>
      </c>
      <c r="I25" s="4">
        <f>SUM(I13,I18,I23)</f>
        <v>244</v>
      </c>
      <c r="J25" s="4">
        <f>SUM(J13,J18,J23)</f>
        <v>1.4</v>
      </c>
    </row>
    <row r="26" spans="1:10" x14ac:dyDescent="0.25">
      <c r="A26" s="161"/>
      <c r="H26" s="161"/>
    </row>
    <row r="27" spans="1:10" x14ac:dyDescent="0.25">
      <c r="A27" s="161" t="s">
        <v>416</v>
      </c>
      <c r="B27" s="4">
        <f>B13+B23</f>
        <v>238</v>
      </c>
      <c r="C27" s="4">
        <f>C13+C23</f>
        <v>238</v>
      </c>
      <c r="D27" s="4">
        <f>D13+D23</f>
        <v>238</v>
      </c>
      <c r="H27" s="161" t="s">
        <v>416</v>
      </c>
      <c r="I27" s="4">
        <f>I25</f>
        <v>244</v>
      </c>
      <c r="J27" s="4">
        <f>J25</f>
        <v>1.4</v>
      </c>
    </row>
    <row r="28" spans="1:10" x14ac:dyDescent="0.25">
      <c r="A28" s="161"/>
      <c r="H28" s="161"/>
    </row>
    <row r="29" spans="1:10" x14ac:dyDescent="0.25">
      <c r="A29" s="161"/>
      <c r="H29" s="161"/>
    </row>
    <row r="30" spans="1:10" x14ac:dyDescent="0.25">
      <c r="A30" s="161" t="s">
        <v>417</v>
      </c>
      <c r="B30" s="158">
        <f>AVERAGE(B25:D25)</f>
        <v>264.66666666666669</v>
      </c>
      <c r="H30" s="161" t="s">
        <v>417</v>
      </c>
      <c r="I30" s="158">
        <f>AVERAGE(I25:J25)</f>
        <v>122.7</v>
      </c>
    </row>
    <row r="31" spans="1:10" x14ac:dyDescent="0.25">
      <c r="A31" s="161"/>
    </row>
    <row r="32" spans="1:10" x14ac:dyDescent="0.25">
      <c r="A32" s="161" t="s">
        <v>418</v>
      </c>
      <c r="C32" s="4">
        <f>AVERAGE(B27:D27)</f>
        <v>238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F21" sqref="F21"/>
    </sheetView>
  </sheetViews>
  <sheetFormatPr baseColWidth="10" defaultColWidth="11.42578125" defaultRowHeight="15" x14ac:dyDescent="0.25"/>
  <cols>
    <col min="1" max="1" width="31" style="4" customWidth="1"/>
    <col min="2" max="9" width="11.42578125" style="4"/>
    <col min="10" max="10" width="19.42578125" style="4" customWidth="1"/>
    <col min="11" max="11" width="20.5703125" style="4" customWidth="1"/>
    <col min="12" max="12" width="22" style="4" bestFit="1" customWidth="1"/>
    <col min="13" max="13" width="11.42578125" style="4"/>
    <col min="14" max="14" width="22.5703125" style="4" customWidth="1"/>
    <col min="15" max="16384" width="11.42578125" style="4"/>
  </cols>
  <sheetData>
    <row r="1" spans="1:15" x14ac:dyDescent="0.25">
      <c r="B1" s="4" t="s">
        <v>226</v>
      </c>
      <c r="C1" s="4" t="s">
        <v>227</v>
      </c>
      <c r="D1" s="4" t="s">
        <v>228</v>
      </c>
      <c r="J1" s="5" t="s">
        <v>267</v>
      </c>
      <c r="K1" s="5" t="s">
        <v>370</v>
      </c>
      <c r="L1" s="5" t="s">
        <v>371</v>
      </c>
      <c r="M1" s="5"/>
      <c r="N1" s="5" t="s">
        <v>267</v>
      </c>
      <c r="O1" s="145" t="s">
        <v>268</v>
      </c>
    </row>
    <row r="2" spans="1:15" x14ac:dyDescent="0.25">
      <c r="A2" s="4" t="s">
        <v>229</v>
      </c>
      <c r="B2" s="4" t="s">
        <v>230</v>
      </c>
      <c r="C2" s="4" t="s">
        <v>230</v>
      </c>
      <c r="D2" s="4" t="s">
        <v>230</v>
      </c>
      <c r="J2" s="173" t="s">
        <v>372</v>
      </c>
      <c r="K2" s="178">
        <v>0.10299999999999999</v>
      </c>
      <c r="L2" s="134">
        <v>18</v>
      </c>
      <c r="M2" s="134"/>
      <c r="N2" s="144" t="s">
        <v>269</v>
      </c>
      <c r="O2" s="38">
        <v>0.85</v>
      </c>
    </row>
    <row r="3" spans="1:15" x14ac:dyDescent="0.25">
      <c r="A3" s="4" t="s">
        <v>231</v>
      </c>
      <c r="B3" s="4" t="s">
        <v>235</v>
      </c>
      <c r="C3" s="4" t="s">
        <v>134</v>
      </c>
      <c r="J3" s="179" t="s">
        <v>373</v>
      </c>
      <c r="K3" s="178">
        <v>0.11700000000000001</v>
      </c>
      <c r="L3" s="4">
        <v>18.100000000000001</v>
      </c>
      <c r="N3" s="4" t="s">
        <v>270</v>
      </c>
      <c r="O3" s="4">
        <v>0.88</v>
      </c>
    </row>
    <row r="4" spans="1:15" x14ac:dyDescent="0.25">
      <c r="J4" s="154" t="s">
        <v>374</v>
      </c>
      <c r="K4" s="178">
        <v>0.126</v>
      </c>
      <c r="L4" s="4">
        <v>18.2</v>
      </c>
      <c r="N4" s="4" t="s">
        <v>271</v>
      </c>
      <c r="O4" s="4">
        <v>0.89</v>
      </c>
    </row>
    <row r="5" spans="1:15" x14ac:dyDescent="0.25">
      <c r="J5" s="154" t="s">
        <v>273</v>
      </c>
      <c r="K5" s="178">
        <v>0.11799999999999999</v>
      </c>
      <c r="L5" s="134">
        <v>18.399999999999999</v>
      </c>
      <c r="N5" s="4" t="s">
        <v>272</v>
      </c>
      <c r="O5" s="4">
        <v>0.89</v>
      </c>
    </row>
    <row r="6" spans="1:15" x14ac:dyDescent="0.25">
      <c r="J6" s="173" t="s">
        <v>349</v>
      </c>
      <c r="K6" s="178">
        <v>0.28999999999999998</v>
      </c>
      <c r="L6" s="134">
        <v>18.7</v>
      </c>
      <c r="M6" s="134"/>
      <c r="N6" s="4" t="s">
        <v>273</v>
      </c>
      <c r="O6" s="4">
        <v>0.89</v>
      </c>
    </row>
    <row r="7" spans="1:15" x14ac:dyDescent="0.25">
      <c r="J7" s="4" t="s">
        <v>375</v>
      </c>
      <c r="K7" s="178">
        <v>0.20899999999999999</v>
      </c>
      <c r="L7" s="4">
        <v>28.8</v>
      </c>
      <c r="N7" s="4" t="s">
        <v>274</v>
      </c>
      <c r="O7" s="4">
        <v>0.89</v>
      </c>
    </row>
    <row r="8" spans="1:15" x14ac:dyDescent="0.25">
      <c r="B8" s="4" t="s">
        <v>230</v>
      </c>
      <c r="C8" s="4" t="s">
        <v>230</v>
      </c>
      <c r="D8" s="4" t="s">
        <v>230</v>
      </c>
      <c r="F8" s="4" t="s">
        <v>235</v>
      </c>
      <c r="G8" s="4" t="s">
        <v>134</v>
      </c>
      <c r="J8" s="4" t="s">
        <v>376</v>
      </c>
      <c r="K8" s="178">
        <v>0.33700000000000002</v>
      </c>
      <c r="L8" s="134">
        <v>20.3</v>
      </c>
      <c r="M8" s="134"/>
      <c r="N8" s="4" t="s">
        <v>235</v>
      </c>
      <c r="O8" s="4">
        <v>0.87</v>
      </c>
    </row>
    <row r="9" spans="1:15" x14ac:dyDescent="0.25">
      <c r="A9" s="4" t="s">
        <v>395</v>
      </c>
      <c r="B9" s="4">
        <v>11.9</v>
      </c>
      <c r="C9" s="4">
        <v>13</v>
      </c>
      <c r="D9" s="4">
        <v>11.4</v>
      </c>
      <c r="F9" s="4">
        <v>13.7</v>
      </c>
      <c r="G9" s="4">
        <v>4.3150000000000004</v>
      </c>
      <c r="J9" s="4" t="s">
        <v>377</v>
      </c>
      <c r="K9" s="178">
        <v>0.23899999999999999</v>
      </c>
      <c r="L9" s="134">
        <v>18.3</v>
      </c>
      <c r="N9" s="4" t="s">
        <v>275</v>
      </c>
      <c r="O9" s="4">
        <v>0.88</v>
      </c>
    </row>
    <row r="10" spans="1:15" x14ac:dyDescent="0.25">
      <c r="A10" s="4" t="s">
        <v>396</v>
      </c>
      <c r="B10" s="151">
        <v>0.87</v>
      </c>
      <c r="C10" s="151">
        <v>0.87</v>
      </c>
      <c r="D10" s="151">
        <v>0.87</v>
      </c>
      <c r="F10" s="151">
        <v>0.87</v>
      </c>
      <c r="G10" s="151">
        <v>0.91</v>
      </c>
      <c r="J10" s="4" t="s">
        <v>378</v>
      </c>
      <c r="K10" s="178">
        <v>0.11</v>
      </c>
      <c r="L10" s="134">
        <v>19.5</v>
      </c>
      <c r="M10" s="134"/>
      <c r="N10" s="4" t="s">
        <v>276</v>
      </c>
      <c r="O10" s="4">
        <v>0.89</v>
      </c>
    </row>
    <row r="11" spans="1:15" x14ac:dyDescent="0.25">
      <c r="A11" s="4" t="s">
        <v>397</v>
      </c>
      <c r="B11" s="4">
        <f>B10*B9</f>
        <v>10.353</v>
      </c>
      <c r="C11" s="4">
        <f>C10*C9</f>
        <v>11.31</v>
      </c>
      <c r="D11" s="4">
        <f>D10*D9</f>
        <v>9.918000000000001</v>
      </c>
      <c r="F11" s="4">
        <f>F10*F9</f>
        <v>11.918999999999999</v>
      </c>
      <c r="G11" s="4">
        <f>G10*G9</f>
        <v>3.9266500000000004</v>
      </c>
      <c r="J11" s="173" t="s">
        <v>379</v>
      </c>
      <c r="K11" s="178">
        <v>0.08</v>
      </c>
      <c r="L11" s="180">
        <v>18.899999999999999</v>
      </c>
      <c r="M11" s="134"/>
      <c r="N11" s="4" t="s">
        <v>277</v>
      </c>
      <c r="O11" s="152">
        <v>0.9</v>
      </c>
    </row>
    <row r="12" spans="1:15" x14ac:dyDescent="0.25">
      <c r="A12" s="4" t="s">
        <v>370</v>
      </c>
      <c r="B12" s="151">
        <v>9.4E-2</v>
      </c>
      <c r="C12" s="151">
        <v>9.4E-2</v>
      </c>
      <c r="D12" s="151">
        <v>9.4E-2</v>
      </c>
      <c r="F12" s="151">
        <v>9.4E-2</v>
      </c>
      <c r="G12" s="151">
        <v>0.39600000000000002</v>
      </c>
      <c r="J12" s="173" t="s">
        <v>380</v>
      </c>
      <c r="K12" s="178">
        <v>0.191</v>
      </c>
      <c r="L12" s="4">
        <v>18.2</v>
      </c>
      <c r="N12" s="4" t="s">
        <v>278</v>
      </c>
      <c r="O12" s="4">
        <v>0.89</v>
      </c>
    </row>
    <row r="13" spans="1:15" x14ac:dyDescent="0.25">
      <c r="A13" s="4" t="s">
        <v>398</v>
      </c>
      <c r="B13" s="4">
        <f>B12*B11</f>
        <v>0.97318199999999999</v>
      </c>
      <c r="C13" s="4">
        <f>C12*C11</f>
        <v>1.06314</v>
      </c>
      <c r="D13" s="4">
        <f>D12*D11</f>
        <v>0.93229200000000012</v>
      </c>
      <c r="F13" s="4">
        <f>F12*F11</f>
        <v>1.1203859999999999</v>
      </c>
      <c r="G13" s="4">
        <f>G12*G11</f>
        <v>1.5549534000000003</v>
      </c>
      <c r="J13" s="155" t="s">
        <v>134</v>
      </c>
      <c r="K13" s="178">
        <v>0.39600000000000002</v>
      </c>
      <c r="L13" s="134">
        <v>23.6</v>
      </c>
      <c r="N13" s="4" t="s">
        <v>279</v>
      </c>
      <c r="O13" s="4">
        <v>0.91</v>
      </c>
    </row>
    <row r="14" spans="1:15" x14ac:dyDescent="0.25">
      <c r="J14" s="4" t="s">
        <v>381</v>
      </c>
      <c r="K14" s="178">
        <v>9.4E-2</v>
      </c>
      <c r="L14" s="4">
        <v>18.7</v>
      </c>
      <c r="M14" s="134"/>
      <c r="N14" s="4" t="s">
        <v>280</v>
      </c>
      <c r="O14" s="4">
        <v>0.91</v>
      </c>
    </row>
    <row r="15" spans="1:15" x14ac:dyDescent="0.25">
      <c r="A15" s="4" t="s">
        <v>399</v>
      </c>
      <c r="B15" s="158">
        <f>AVERAGE(B13:D13)*1000</f>
        <v>989.53800000000012</v>
      </c>
      <c r="C15" s="158"/>
      <c r="D15" s="158"/>
      <c r="E15" s="158"/>
      <c r="F15" s="158">
        <f>AVERAGE(F13:G13)*1000</f>
        <v>1337.6697000000001</v>
      </c>
      <c r="J15" s="155" t="s">
        <v>357</v>
      </c>
      <c r="K15" s="178">
        <v>0.16600000000000001</v>
      </c>
      <c r="L15" s="4">
        <v>28.7</v>
      </c>
      <c r="N15" s="4" t="s">
        <v>281</v>
      </c>
      <c r="O15" s="4">
        <v>0.22</v>
      </c>
    </row>
    <row r="16" spans="1:15" x14ac:dyDescent="0.25">
      <c r="J16" s="156" t="s">
        <v>382</v>
      </c>
      <c r="K16" s="178">
        <v>0.248</v>
      </c>
      <c r="L16" s="4">
        <v>18.600000000000001</v>
      </c>
      <c r="N16" s="4" t="s">
        <v>282</v>
      </c>
      <c r="O16" s="4">
        <v>0.94</v>
      </c>
    </row>
    <row r="17" spans="1:15" x14ac:dyDescent="0.25">
      <c r="A17" s="4" t="s">
        <v>371</v>
      </c>
      <c r="B17" s="4">
        <v>18.7</v>
      </c>
      <c r="C17" s="4">
        <v>18.7</v>
      </c>
      <c r="D17" s="4">
        <v>18.7</v>
      </c>
      <c r="F17" s="4">
        <v>18.7</v>
      </c>
      <c r="G17" s="134">
        <v>23.6</v>
      </c>
      <c r="J17" s="4" t="s">
        <v>383</v>
      </c>
      <c r="K17" s="178">
        <v>0.17699999999999999</v>
      </c>
      <c r="L17" s="4">
        <v>18.5</v>
      </c>
      <c r="M17" s="134"/>
      <c r="N17" s="4" t="s">
        <v>283</v>
      </c>
      <c r="O17" s="4">
        <v>0.9</v>
      </c>
    </row>
    <row r="18" spans="1:15" x14ac:dyDescent="0.25">
      <c r="A18" s="4" t="s">
        <v>369</v>
      </c>
      <c r="B18" s="152">
        <f>B17*B11</f>
        <v>193.60109999999997</v>
      </c>
      <c r="C18" s="152">
        <f t="shared" ref="C18:G18" si="0">C17*C11</f>
        <v>211.49700000000001</v>
      </c>
      <c r="D18" s="152">
        <f t="shared" si="0"/>
        <v>185.4666</v>
      </c>
      <c r="E18" s="152"/>
      <c r="F18" s="152">
        <f t="shared" si="0"/>
        <v>222.88529999999997</v>
      </c>
      <c r="G18" s="152">
        <f t="shared" si="0"/>
        <v>92.668940000000021</v>
      </c>
      <c r="J18" s="4" t="s">
        <v>384</v>
      </c>
      <c r="K18" s="178">
        <v>7.8E-2</v>
      </c>
      <c r="L18" s="4">
        <v>16.899999999999999</v>
      </c>
      <c r="N18" s="4" t="s">
        <v>284</v>
      </c>
      <c r="O18" s="4">
        <v>0.9</v>
      </c>
    </row>
    <row r="19" spans="1:15" x14ac:dyDescent="0.25">
      <c r="B19" s="152"/>
      <c r="C19" s="152"/>
      <c r="D19" s="152"/>
      <c r="E19" s="152"/>
      <c r="F19" s="152"/>
      <c r="G19" s="152"/>
      <c r="J19" s="4" t="s">
        <v>385</v>
      </c>
      <c r="K19" s="178">
        <v>0.189</v>
      </c>
      <c r="L19" s="4">
        <v>18.899999999999999</v>
      </c>
      <c r="N19" s="4" t="s">
        <v>285</v>
      </c>
      <c r="O19" s="4">
        <v>0.9</v>
      </c>
    </row>
    <row r="20" spans="1:15" x14ac:dyDescent="0.25">
      <c r="A20" s="4" t="s">
        <v>400</v>
      </c>
      <c r="B20" s="152">
        <f>AVERAGE(B18:D18)</f>
        <v>196.85490000000001</v>
      </c>
      <c r="C20" s="152"/>
      <c r="D20" s="152"/>
      <c r="E20" s="152"/>
      <c r="F20" s="152">
        <f>AVERAGE(F18:G18)</f>
        <v>157.77712</v>
      </c>
      <c r="G20" s="152"/>
      <c r="J20" s="4" t="s">
        <v>386</v>
      </c>
      <c r="K20" s="178">
        <v>0.16200000000000001</v>
      </c>
      <c r="L20" s="4">
        <v>18.7</v>
      </c>
      <c r="N20" s="4" t="s">
        <v>286</v>
      </c>
      <c r="O20" s="4">
        <v>0.9</v>
      </c>
    </row>
    <row r="21" spans="1:15" x14ac:dyDescent="0.25">
      <c r="B21" s="152"/>
      <c r="C21" s="152"/>
      <c r="D21" s="152"/>
      <c r="E21" s="152"/>
      <c r="F21" s="152"/>
      <c r="G21" s="152"/>
      <c r="J21" s="4" t="s">
        <v>387</v>
      </c>
      <c r="K21" s="178">
        <v>0.10199999999999999</v>
      </c>
      <c r="L21" s="4">
        <v>17.7</v>
      </c>
      <c r="N21" s="4" t="s">
        <v>287</v>
      </c>
      <c r="O21" s="4">
        <v>0.9</v>
      </c>
    </row>
    <row r="22" spans="1:15" x14ac:dyDescent="0.25">
      <c r="J22" s="4" t="s">
        <v>388</v>
      </c>
      <c r="K22" s="178">
        <v>0.14699999999999999</v>
      </c>
      <c r="L22" s="180">
        <v>18.18</v>
      </c>
      <c r="N22" s="4" t="s">
        <v>288</v>
      </c>
      <c r="O22" s="4">
        <v>0.9</v>
      </c>
    </row>
    <row r="23" spans="1:15" x14ac:dyDescent="0.25">
      <c r="J23" s="4" t="s">
        <v>389</v>
      </c>
      <c r="K23" s="178">
        <v>0.11</v>
      </c>
      <c r="L23" s="4">
        <v>17.899999999999999</v>
      </c>
    </row>
    <row r="24" spans="1:15" x14ac:dyDescent="0.25">
      <c r="J24" s="179" t="s">
        <v>390</v>
      </c>
      <c r="K24" s="178">
        <v>0.17280000000000001</v>
      </c>
      <c r="L24" s="181">
        <v>18.78</v>
      </c>
      <c r="N24" s="4" t="s">
        <v>391</v>
      </c>
    </row>
    <row r="26" spans="1:15" x14ac:dyDescent="0.25">
      <c r="J26" s="134" t="s">
        <v>392</v>
      </c>
      <c r="K26" s="4" t="s">
        <v>393</v>
      </c>
    </row>
    <row r="27" spans="1:15" x14ac:dyDescent="0.25">
      <c r="K27" s="4" t="s">
        <v>394</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e8f81330-78a3-40f3-8099-e15c90d368cb">XSRFWMESHWEX-1235548962-18055</_dlc_DocId>
    <_dlc_DocIdUrl xmlns="e8f81330-78a3-40f3-8099-e15c90d368cb">
      <Url>https://vereindonausoja.sharepoint.com/sites/Innovation/_layouts/15/DocIdRedir.aspx?ID=XSRFWMESHWEX-1235548962-18055</Url>
      <Description>XSRFWMESHWEX-1235548962-18055</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kument" ma:contentTypeID="0x010100C1E48FCDBF898C4BA67789B58F7569DB" ma:contentTypeVersion="12" ma:contentTypeDescription="Ein neues Dokument erstellen." ma:contentTypeScope="" ma:versionID="ca37ac41c703330ae9affa88531207f8">
  <xsd:schema xmlns:xsd="http://www.w3.org/2001/XMLSchema" xmlns:xs="http://www.w3.org/2001/XMLSchema" xmlns:p="http://schemas.microsoft.com/office/2006/metadata/properties" xmlns:ns2="e8f81330-78a3-40f3-8099-e15c90d368cb" xmlns:ns3="4b145c32-6cab-4393-920a-804c7388c31f" targetNamespace="http://schemas.microsoft.com/office/2006/metadata/properties" ma:root="true" ma:fieldsID="56a78d5ccde9f50b0495d93eb6d82558" ns2:_="" ns3:_="">
    <xsd:import namespace="e8f81330-78a3-40f3-8099-e15c90d368cb"/>
    <xsd:import namespace="4b145c32-6cab-4393-920a-804c7388c31f"/>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f81330-78a3-40f3-8099-e15c90d368cb"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145c32-6cab-4393-920a-804c7388c31f"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description="" ma:internalName="MediaServiceAutoTags" ma:readOnly="true">
      <xsd:simpleType>
        <xsd:restriction base="dms:Text"/>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Location" ma:index="17" nillable="true" ma:displayName="MediaServiceLoca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623D65-7DC1-47E3-A380-719A4CC56AD4}">
  <ds:schemaRefs>
    <ds:schemaRef ds:uri="http://schemas.microsoft.com/sharepoint/events"/>
  </ds:schemaRefs>
</ds:datastoreItem>
</file>

<file path=customXml/itemProps2.xml><?xml version="1.0" encoding="utf-8"?>
<ds:datastoreItem xmlns:ds="http://schemas.openxmlformats.org/officeDocument/2006/customXml" ds:itemID="{8EDBABB5-EE47-4B5C-8556-C41E601CFE93}">
  <ds:schemaRefs>
    <ds:schemaRef ds:uri="http://schemas.microsoft.com/sharepoint/v3/contenttype/forms"/>
  </ds:schemaRefs>
</ds:datastoreItem>
</file>

<file path=customXml/itemProps3.xml><?xml version="1.0" encoding="utf-8"?>
<ds:datastoreItem xmlns:ds="http://schemas.openxmlformats.org/officeDocument/2006/customXml" ds:itemID="{13EE43AD-E622-499C-ADFE-2964CD242980}">
  <ds:schemaRefs>
    <ds:schemaRef ds:uri="4b145c32-6cab-4393-920a-804c7388c31f"/>
    <ds:schemaRef ds:uri="http://purl.org/dc/elements/1.1/"/>
    <ds:schemaRef ds:uri="http://schemas.microsoft.com/office/2006/metadata/properties"/>
    <ds:schemaRef ds:uri="e8f81330-78a3-40f3-8099-e15c90d368cb"/>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537015BF-9CB5-4F07-9AA4-1B9EA16E1D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f81330-78a3-40f3-8099-e15c90d368cb"/>
    <ds:schemaRef ds:uri="4b145c32-6cab-4393-920a-804c7388c3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Output</vt:lpstr>
      <vt:lpstr>Data source</vt:lpstr>
      <vt:lpstr>Site characteristics</vt:lpstr>
      <vt:lpstr>Without legumes</vt:lpstr>
      <vt:lpstr>With legumes option 1 </vt:lpstr>
      <vt:lpstr>Data for yield stability</vt:lpstr>
      <vt:lpstr>GM</vt:lpstr>
      <vt:lpstr>N fertilizer</vt:lpstr>
      <vt:lpstr>Protein &amp; Energy Output</vt:lpstr>
      <vt:lpstr>Crop Diversity</vt:lpstr>
      <vt:lpstr>NO3-N</vt:lpstr>
      <vt:lpstr>N2O calculations</vt:lpstr>
      <vt:lpstr>N2O default values</vt:lpstr>
      <vt:lpstr>Mapping crops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notz</dc:creator>
  <cp:lastModifiedBy>notz</cp:lastModifiedBy>
  <dcterms:created xsi:type="dcterms:W3CDTF">2019-08-15T12:33:08Z</dcterms:created>
  <dcterms:modified xsi:type="dcterms:W3CDTF">2020-12-14T08:43:17Z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0x010100C1E48FCDBF898C4BA67789B58F7569DB</vt:lpwstr>
  </property>
  <property fmtid="{D5CDD505-2E9C-101B-9397-08002B2CF9AE}" pid="3" name="_dlc_DocIdItemGuid">
    <vt:lpwstr>cc89acbd-bbec-4e53-a0f4-0a747557a7a6</vt:lpwstr>
  </property>
</Properties>
</file>