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-105" yWindow="-105" windowWidth="19425" windowHeight="10425"/>
  </bookViews>
  <sheets>
    <sheet name="Output" sheetId="11" r:id="rId1"/>
    <sheet name="Data source" sheetId="6" r:id="rId2"/>
    <sheet name="Site characteristics" sheetId="1" r:id="rId3"/>
    <sheet name="Without legumes" sheetId="2" r:id="rId4"/>
    <sheet name="With legumes option 1 " sheetId="3" r:id="rId5"/>
    <sheet name="With legumes option 2" sheetId="4" r:id="rId6"/>
    <sheet name="Data for yield stability" sheetId="5" r:id="rId7"/>
    <sheet name="GM" sheetId="7" r:id="rId8"/>
    <sheet name="N fertilizer" sheetId="8" r:id="rId9"/>
    <sheet name="Protein &amp; Energy Output" sheetId="9" r:id="rId10"/>
    <sheet name="Crop Diversity" sheetId="10" r:id="rId11"/>
    <sheet name="NO3" sheetId="15" r:id="rId12"/>
    <sheet name="N2O calculations" sheetId="12" r:id="rId13"/>
    <sheet name="N2O default values" sheetId="13" r:id="rId14"/>
    <sheet name="Mapping crops" sheetId="14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5" l="1"/>
  <c r="K17" i="5"/>
  <c r="C17" i="5"/>
  <c r="G17" i="5"/>
  <c r="P28" i="7"/>
  <c r="I28" i="7"/>
  <c r="I27" i="7"/>
  <c r="P15" i="7"/>
  <c r="I15" i="7"/>
  <c r="B15" i="7"/>
  <c r="B23" i="8"/>
  <c r="I23" i="8"/>
  <c r="P23" i="8"/>
  <c r="L21" i="9"/>
  <c r="G21" i="9"/>
  <c r="B21" i="9"/>
  <c r="C16" i="9"/>
  <c r="H16" i="9"/>
  <c r="M16" i="9"/>
  <c r="K18" i="15" l="1"/>
  <c r="K12" i="15"/>
  <c r="K6" i="15"/>
  <c r="K4" i="11" l="1"/>
  <c r="K3" i="11"/>
  <c r="K2" i="11"/>
  <c r="S28" i="12" l="1"/>
  <c r="R28" i="12"/>
  <c r="Q28" i="12"/>
  <c r="P28" i="12"/>
  <c r="L28" i="12"/>
  <c r="K28" i="12"/>
  <c r="J28" i="12"/>
  <c r="I28" i="12"/>
  <c r="C28" i="12"/>
  <c r="D28" i="12"/>
  <c r="B28" i="12"/>
  <c r="E4" i="13"/>
  <c r="S26" i="12"/>
  <c r="E3" i="13"/>
  <c r="E2" i="13"/>
  <c r="S11" i="12"/>
  <c r="R11" i="12"/>
  <c r="Q11" i="12"/>
  <c r="P11" i="12"/>
  <c r="L11" i="12"/>
  <c r="K11" i="12"/>
  <c r="J11" i="12"/>
  <c r="I11" i="12"/>
  <c r="I26" i="12" s="1"/>
  <c r="D11" i="12"/>
  <c r="C11" i="12"/>
  <c r="B11" i="12"/>
  <c r="S10" i="12"/>
  <c r="R10" i="12"/>
  <c r="Q10" i="12"/>
  <c r="P10" i="12"/>
  <c r="L10" i="12"/>
  <c r="K10" i="12"/>
  <c r="J10" i="12"/>
  <c r="I10" i="12"/>
  <c r="D10" i="12"/>
  <c r="C10" i="12"/>
  <c r="B10" i="12"/>
  <c r="S9" i="12"/>
  <c r="R9" i="12"/>
  <c r="L9" i="12"/>
  <c r="K9" i="12"/>
  <c r="K26" i="12"/>
  <c r="D9" i="12"/>
  <c r="S7" i="12"/>
  <c r="S24" i="12"/>
  <c r="R7" i="12"/>
  <c r="R8" i="12"/>
  <c r="R14" i="12"/>
  <c r="Q7" i="12"/>
  <c r="Q24" i="12"/>
  <c r="P7" i="12"/>
  <c r="P24" i="12"/>
  <c r="L7" i="12"/>
  <c r="L24" i="12"/>
  <c r="K7" i="12"/>
  <c r="K24" i="12"/>
  <c r="J7" i="12"/>
  <c r="J24" i="12"/>
  <c r="I7" i="12"/>
  <c r="I24" i="12"/>
  <c r="D7" i="12"/>
  <c r="D24" i="12"/>
  <c r="C7" i="12"/>
  <c r="C24" i="12"/>
  <c r="B7" i="12"/>
  <c r="B24" i="12"/>
  <c r="E4" i="12"/>
  <c r="D4" i="12"/>
  <c r="C4" i="12"/>
  <c r="B4" i="12"/>
  <c r="A4" i="12"/>
  <c r="E3" i="12"/>
  <c r="D3" i="12"/>
  <c r="C3" i="12"/>
  <c r="B3" i="12"/>
  <c r="A3" i="12"/>
  <c r="E2" i="12"/>
  <c r="D2" i="12"/>
  <c r="C2" i="12"/>
  <c r="B2" i="12"/>
  <c r="A2" i="12"/>
  <c r="E1" i="12"/>
  <c r="D1" i="12"/>
  <c r="C1" i="12"/>
  <c r="B1" i="12"/>
  <c r="A1" i="12"/>
  <c r="U22" i="13"/>
  <c r="U21" i="13"/>
  <c r="U20" i="13"/>
  <c r="U19" i="13"/>
  <c r="U18" i="13"/>
  <c r="Q18" i="13"/>
  <c r="U17" i="13"/>
  <c r="Q17" i="13"/>
  <c r="U16" i="13"/>
  <c r="R16" i="13"/>
  <c r="P16" i="13"/>
  <c r="U15" i="13"/>
  <c r="U14" i="13"/>
  <c r="U13" i="13"/>
  <c r="U12" i="13"/>
  <c r="R12" i="13"/>
  <c r="U11" i="13"/>
  <c r="R11" i="13"/>
  <c r="P11" i="13"/>
  <c r="U10" i="13"/>
  <c r="P10" i="13"/>
  <c r="U9" i="13"/>
  <c r="R9" i="13"/>
  <c r="U8" i="13"/>
  <c r="U7" i="13"/>
  <c r="U6" i="13"/>
  <c r="U5" i="13"/>
  <c r="U4" i="13"/>
  <c r="U3" i="13"/>
  <c r="U2" i="13"/>
  <c r="G2" i="13"/>
  <c r="S27" i="12"/>
  <c r="R27" i="12"/>
  <c r="Q27" i="12"/>
  <c r="P27" i="12"/>
  <c r="L27" i="12"/>
  <c r="K27" i="12"/>
  <c r="J27" i="12"/>
  <c r="I27" i="12"/>
  <c r="D27" i="12"/>
  <c r="C27" i="12"/>
  <c r="B27" i="12"/>
  <c r="P8" i="12"/>
  <c r="J8" i="12"/>
  <c r="J14" i="12"/>
  <c r="J15" i="12"/>
  <c r="S8" i="12"/>
  <c r="S14" i="12"/>
  <c r="L8" i="12"/>
  <c r="L14" i="12"/>
  <c r="L15" i="12"/>
  <c r="I8" i="12"/>
  <c r="I14" i="12"/>
  <c r="I15" i="12"/>
  <c r="I16" i="12"/>
  <c r="I18" i="12"/>
  <c r="D8" i="12"/>
  <c r="D14" i="12"/>
  <c r="C8" i="12"/>
  <c r="C14" i="12"/>
  <c r="C15" i="12"/>
  <c r="C17" i="12"/>
  <c r="R25" i="12"/>
  <c r="K25" i="12"/>
  <c r="Q25" i="12"/>
  <c r="P14" i="12"/>
  <c r="P15" i="12"/>
  <c r="P17" i="12"/>
  <c r="D15" i="12"/>
  <c r="D17" i="12"/>
  <c r="J4" i="11"/>
  <c r="J3" i="11"/>
  <c r="J2" i="11"/>
  <c r="D27" i="10"/>
  <c r="E27" i="10"/>
  <c r="B27" i="10"/>
  <c r="D26" i="10"/>
  <c r="E26" i="10"/>
  <c r="B26" i="10"/>
  <c r="E25" i="10"/>
  <c r="D25" i="10"/>
  <c r="B25" i="10"/>
  <c r="D21" i="10"/>
  <c r="E21" i="10"/>
  <c r="B21" i="10"/>
  <c r="D20" i="10"/>
  <c r="E20" i="10"/>
  <c r="B20" i="10"/>
  <c r="D19" i="10"/>
  <c r="E19" i="10"/>
  <c r="E22" i="10"/>
  <c r="R3" i="11"/>
  <c r="B19" i="10"/>
  <c r="D14" i="10"/>
  <c r="E14" i="10"/>
  <c r="B14" i="10"/>
  <c r="D13" i="10"/>
  <c r="E13" i="10"/>
  <c r="E16" i="10"/>
  <c r="R2" i="11"/>
  <c r="B13" i="10"/>
  <c r="F7" i="10"/>
  <c r="O12" i="9"/>
  <c r="O19" i="9"/>
  <c r="O14" i="9"/>
  <c r="N12" i="9"/>
  <c r="N19" i="9"/>
  <c r="N14" i="9"/>
  <c r="M12" i="9"/>
  <c r="M19" i="9"/>
  <c r="L12" i="9"/>
  <c r="L19" i="9"/>
  <c r="Q4" i="11"/>
  <c r="L14" i="9"/>
  <c r="J12" i="9"/>
  <c r="J19" i="9"/>
  <c r="J14" i="9"/>
  <c r="I12" i="9"/>
  <c r="I19" i="9"/>
  <c r="I14" i="9"/>
  <c r="H12" i="9"/>
  <c r="H19" i="9"/>
  <c r="G12" i="9"/>
  <c r="G19" i="9"/>
  <c r="Q3" i="11"/>
  <c r="D12" i="9"/>
  <c r="D19" i="9"/>
  <c r="D14" i="9"/>
  <c r="C12" i="9"/>
  <c r="C19" i="9"/>
  <c r="C14" i="9"/>
  <c r="B12" i="9"/>
  <c r="B19" i="9"/>
  <c r="Q2" i="11"/>
  <c r="R21" i="8"/>
  <c r="S13" i="8"/>
  <c r="S25" i="12"/>
  <c r="S21" i="8"/>
  <c r="Q13" i="8"/>
  <c r="Q9" i="12"/>
  <c r="P13" i="8"/>
  <c r="P9" i="12"/>
  <c r="P21" i="8"/>
  <c r="L13" i="8"/>
  <c r="L25" i="12"/>
  <c r="K13" i="8"/>
  <c r="K21" i="8"/>
  <c r="J13" i="8"/>
  <c r="J25" i="12"/>
  <c r="I13" i="8"/>
  <c r="I9" i="12"/>
  <c r="I21" i="8"/>
  <c r="D13" i="8"/>
  <c r="D21" i="8"/>
  <c r="C13" i="8"/>
  <c r="C9" i="12"/>
  <c r="C26" i="12"/>
  <c r="C21" i="8"/>
  <c r="B13" i="8"/>
  <c r="B9" i="12"/>
  <c r="R27" i="7"/>
  <c r="S13" i="7"/>
  <c r="R13" i="7"/>
  <c r="Q13" i="7"/>
  <c r="P13" i="7"/>
  <c r="F4" i="11"/>
  <c r="L13" i="7"/>
  <c r="K13" i="7"/>
  <c r="J13" i="7"/>
  <c r="I13" i="7"/>
  <c r="D13" i="7"/>
  <c r="C13" i="7"/>
  <c r="B13" i="7"/>
  <c r="G2" i="11"/>
  <c r="S9" i="7"/>
  <c r="R9" i="7"/>
  <c r="Q9" i="7"/>
  <c r="P9" i="7"/>
  <c r="L9" i="7"/>
  <c r="K9" i="7"/>
  <c r="J9" i="7"/>
  <c r="I9" i="7"/>
  <c r="D9" i="7"/>
  <c r="C9" i="7"/>
  <c r="B9" i="7"/>
  <c r="E28" i="10"/>
  <c r="R4" i="11"/>
  <c r="G4" i="11"/>
  <c r="D47" i="3"/>
  <c r="O17" i="3"/>
  <c r="AC17" i="4"/>
  <c r="D47" i="4"/>
  <c r="H17" i="4"/>
  <c r="R52" i="2"/>
  <c r="K47" i="4"/>
  <c r="K53" i="4"/>
  <c r="Y47" i="3"/>
  <c r="Y53" i="3"/>
  <c r="O19" i="4"/>
  <c r="O18" i="4"/>
  <c r="O17" i="4"/>
  <c r="AC17" i="3"/>
  <c r="R47" i="3"/>
  <c r="R53" i="3"/>
  <c r="K47" i="3"/>
  <c r="V22" i="2"/>
  <c r="K52" i="2"/>
  <c r="K58" i="2"/>
  <c r="O24" i="2"/>
  <c r="O23" i="2"/>
  <c r="O22" i="2"/>
  <c r="D52" i="2"/>
  <c r="H22" i="2"/>
  <c r="Y48" i="4"/>
  <c r="R48" i="4"/>
  <c r="K48" i="4"/>
  <c r="D48" i="4"/>
  <c r="Y47" i="4"/>
  <c r="R47" i="4"/>
  <c r="R53" i="4"/>
  <c r="D46" i="4"/>
  <c r="D53" i="4"/>
  <c r="AB43" i="4"/>
  <c r="U43" i="4"/>
  <c r="N43" i="4"/>
  <c r="AC23" i="4"/>
  <c r="Y48" i="3"/>
  <c r="R48" i="3"/>
  <c r="K48" i="3"/>
  <c r="K53" i="3"/>
  <c r="D48" i="3"/>
  <c r="D53" i="3"/>
  <c r="AB43" i="3"/>
  <c r="U43" i="3"/>
  <c r="G43" i="3"/>
  <c r="V23" i="3"/>
  <c r="R53" i="2"/>
  <c r="R58" i="2"/>
  <c r="K53" i="2"/>
  <c r="D53" i="2"/>
  <c r="D51" i="2"/>
  <c r="D58" i="2"/>
  <c r="U48" i="2"/>
  <c r="N48" i="2"/>
  <c r="O28" i="2"/>
  <c r="Y53" i="4"/>
  <c r="F3" i="11"/>
  <c r="G3" i="11"/>
  <c r="H23" i="5"/>
  <c r="O2" i="11"/>
  <c r="H25" i="5"/>
  <c r="O4" i="11"/>
  <c r="H24" i="5"/>
  <c r="O3" i="11"/>
  <c r="R15" i="12"/>
  <c r="R17" i="12"/>
  <c r="L4" i="11"/>
  <c r="F2" i="11"/>
  <c r="C16" i="12"/>
  <c r="C18" i="12"/>
  <c r="C19" i="12"/>
  <c r="C31" i="12"/>
  <c r="B8" i="12"/>
  <c r="B14" i="12"/>
  <c r="K8" i="12"/>
  <c r="K14" i="12"/>
  <c r="B26" i="12"/>
  <c r="B21" i="8"/>
  <c r="L2" i="11"/>
  <c r="J21" i="8"/>
  <c r="Q21" i="8"/>
  <c r="D25" i="12"/>
  <c r="J9" i="12"/>
  <c r="J26" i="12"/>
  <c r="R24" i="12"/>
  <c r="G14" i="9"/>
  <c r="B25" i="12"/>
  <c r="P25" i="12"/>
  <c r="P31" i="12"/>
  <c r="O31" i="12" s="1"/>
  <c r="N4" i="11" s="1"/>
  <c r="Q8" i="12"/>
  <c r="Q14" i="12"/>
  <c r="Q15" i="12"/>
  <c r="Q17" i="12"/>
  <c r="L21" i="8"/>
  <c r="C25" i="12"/>
  <c r="P16" i="12"/>
  <c r="P18" i="12"/>
  <c r="P19" i="12"/>
  <c r="B14" i="9"/>
  <c r="P2" i="11"/>
  <c r="H14" i="9"/>
  <c r="M14" i="9"/>
  <c r="P4" i="11"/>
  <c r="R26" i="12"/>
  <c r="Q26" i="12"/>
  <c r="L26" i="12"/>
  <c r="D26" i="12"/>
  <c r="P26" i="12"/>
  <c r="L16" i="12"/>
  <c r="L18" i="12"/>
  <c r="L17" i="12"/>
  <c r="J17" i="12"/>
  <c r="J16" i="12"/>
  <c r="J18" i="12"/>
  <c r="D16" i="12"/>
  <c r="D18" i="12"/>
  <c r="D19" i="12"/>
  <c r="D31" i="12"/>
  <c r="K15" i="12"/>
  <c r="K17" i="12"/>
  <c r="S15" i="12"/>
  <c r="S17" i="12"/>
  <c r="I17" i="12"/>
  <c r="I19" i="12"/>
  <c r="Q16" i="12"/>
  <c r="Q18" i="12"/>
  <c r="Q19" i="12"/>
  <c r="Q31" i="12"/>
  <c r="L3" i="11"/>
  <c r="I25" i="12"/>
  <c r="K16" i="12"/>
  <c r="K18" i="12"/>
  <c r="K19" i="12"/>
  <c r="K31" i="12"/>
  <c r="P3" i="11"/>
  <c r="B15" i="12"/>
  <c r="B17" i="12"/>
  <c r="R16" i="12"/>
  <c r="R18" i="12"/>
  <c r="R19" i="12"/>
  <c r="R31" i="12"/>
  <c r="J19" i="12"/>
  <c r="J31" i="12"/>
  <c r="S16" i="12"/>
  <c r="S18" i="12"/>
  <c r="S19" i="12"/>
  <c r="S31" i="12"/>
  <c r="L19" i="12"/>
  <c r="L31" i="12"/>
  <c r="B16" i="12"/>
  <c r="B18" i="12"/>
  <c r="B19" i="12"/>
  <c r="B31" i="12"/>
  <c r="A31" i="12" s="1"/>
  <c r="N2" i="11" s="1"/>
  <c r="I31" i="12" l="1"/>
  <c r="H31" i="12" s="1"/>
  <c r="N3" i="11" s="1"/>
  <c r="I2" i="11"/>
  <c r="H4" i="11"/>
  <c r="I3" i="11"/>
  <c r="H3" i="11"/>
  <c r="H2" i="11"/>
  <c r="I4" i="11"/>
</calcChain>
</file>

<file path=xl/comments1.xml><?xml version="1.0" encoding="utf-8"?>
<comments xmlns="http://schemas.openxmlformats.org/spreadsheetml/2006/main">
  <authors>
    <author>notz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The GM from the legume-based rotations increased compared to the standard GM as the given legume prices were exchanged here with their actual feed value - calculation details see sheet "GM"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comments2.xml><?xml version="1.0" encoding="utf-8"?>
<comments xmlns="http://schemas.openxmlformats.org/spreadsheetml/2006/main">
  <authors>
    <author>notz</author>
  </authors>
  <commentList>
    <comment ref="P7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In order to increase comparability we used a price average of 135€/t for the wheat price from both rotations (before the prices were 140€/t and 130 €/t).</t>
        </r>
      </text>
    </comment>
  </commentList>
</comments>
</file>

<file path=xl/sharedStrings.xml><?xml version="1.0" encoding="utf-8"?>
<sst xmlns="http://schemas.openxmlformats.org/spreadsheetml/2006/main" count="1196" uniqueCount="429">
  <si>
    <t>Region</t>
  </si>
  <si>
    <t>Please indicate the name of the region (e.g. Brandenburg) and the code according to the specification of the territorial statistical units of the second level (NUTS 2*) (e.g. DE40 ).</t>
  </si>
  <si>
    <t>BG31 North West</t>
  </si>
  <si>
    <t>Site</t>
  </si>
  <si>
    <t>Please indicate the local name of the site within the region e.g. name of the soil type, class…</t>
  </si>
  <si>
    <t>BG314 Pleven</t>
  </si>
  <si>
    <t>chernozem</t>
  </si>
  <si>
    <t>Soil type</t>
  </si>
  <si>
    <t>Please describe the typical soil type of your region (e.g. sandy loam).</t>
  </si>
  <si>
    <t>leached chernozem</t>
  </si>
  <si>
    <t>Field size</t>
  </si>
  <si>
    <t>Please indicate the average field size [ha].</t>
  </si>
  <si>
    <t>Year</t>
  </si>
  <si>
    <t>Please indicate the years of cultivation (e.g. 2015-2018).</t>
  </si>
  <si>
    <t xml:space="preserve">If you do not have the following information we will help you and might use default values. </t>
  </si>
  <si>
    <t>Only for Germany: Average german soil rating index</t>
  </si>
  <si>
    <t>Please indicate the average AZ (e.g. 49)</t>
  </si>
  <si>
    <t xml:space="preserve">Organic carbon content of the top soil </t>
  </si>
  <si>
    <t>Please indicate the average C_org [% C in DM] (e.g. 0,9%)</t>
  </si>
  <si>
    <t>C to N ratio of SOM</t>
  </si>
  <si>
    <t xml:space="preserve">Please indicate the carbon to nitrogen ratio of the soil organic matter (e.g. 11). </t>
  </si>
  <si>
    <t xml:space="preserve">Bulk densitiy of top soil </t>
  </si>
  <si>
    <r>
      <t>Please indicate the bulk density of the top soil [g/cm³] (e.g. 1,5g/cm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).</t>
    </r>
  </si>
  <si>
    <t>1,4 g/cm³</t>
  </si>
  <si>
    <t>Topsoil</t>
  </si>
  <si>
    <t>Please indicate the depth of the top soil layer [cm] (e.g. 30 cm).</t>
  </si>
  <si>
    <t>35 cm</t>
  </si>
  <si>
    <t xml:space="preserve">Annual mineralisation rate </t>
  </si>
  <si>
    <t>Please indicate the annual mineralisation rate [%] (e.g. 1,7%).</t>
  </si>
  <si>
    <t>Water holding capacity in the root zone</t>
  </si>
  <si>
    <t xml:space="preserve">Please indicate the water holding capacity in the root zone [mm] (e.g. 400mm). </t>
  </si>
  <si>
    <t>200 mm</t>
  </si>
  <si>
    <t>Annual precipitation (mm)</t>
  </si>
  <si>
    <t xml:space="preserve">Please indicate the annual precipitation [mm] (e.g. 510mm). </t>
  </si>
  <si>
    <t>560-600 mm</t>
  </si>
  <si>
    <t>Precipitation in the winter half (mm)</t>
  </si>
  <si>
    <t xml:space="preserve">Please indicate the precipitation in the winter half, from October to March [mm] (e.g.220mm). </t>
  </si>
  <si>
    <t>230-260 mm</t>
  </si>
  <si>
    <t>Notes for completing</t>
  </si>
  <si>
    <t xml:space="preserve"> Description with units</t>
  </si>
  <si>
    <t>CROP 1</t>
  </si>
  <si>
    <t>CROP 2</t>
  </si>
  <si>
    <t>CROP 3</t>
  </si>
  <si>
    <t>CROP 4</t>
  </si>
  <si>
    <t>Crop rotation</t>
  </si>
  <si>
    <t>Please describe the crop rotation.</t>
  </si>
  <si>
    <t>Name of crop</t>
  </si>
  <si>
    <t>Wheat</t>
  </si>
  <si>
    <t>maize</t>
  </si>
  <si>
    <t>sunflower</t>
  </si>
  <si>
    <t>Use of crop (grain, silage, biomass,…)</t>
  </si>
  <si>
    <t>grain</t>
  </si>
  <si>
    <t>Crop internally used (e.g. as feed) or sold?</t>
  </si>
  <si>
    <t>sold</t>
  </si>
  <si>
    <t>Cover crop (following the crop above)</t>
  </si>
  <si>
    <t>Mechani-sation</t>
  </si>
  <si>
    <t>Please specify if machinery was used for:</t>
  </si>
  <si>
    <t>Ploughing</t>
  </si>
  <si>
    <t>Harrowing</t>
  </si>
  <si>
    <t>Seedbed preparation</t>
  </si>
  <si>
    <t>Seeds</t>
  </si>
  <si>
    <t>Please indicate the variety, amount of seeds and machinery used.</t>
  </si>
  <si>
    <t>Variety</t>
  </si>
  <si>
    <t>Enola</t>
  </si>
  <si>
    <t>Knezha 561</t>
  </si>
  <si>
    <t>Bacardi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</si>
  <si>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</si>
  <si>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Machinery used</t>
  </si>
  <si>
    <t>Fertilisation</t>
  </si>
  <si>
    <t>Please indicate the specific fertiliser types, composition, application methods, total amounts and total number of applications applied.</t>
  </si>
  <si>
    <t>Mineral fertilizers</t>
  </si>
  <si>
    <t>Type</t>
  </si>
  <si>
    <t>Application method</t>
  </si>
  <si>
    <t>Total amount [kg or l/ha]</t>
  </si>
  <si>
    <t>Total number of applications</t>
  </si>
  <si>
    <t>Content of N, P, K in the fertiliser (%)</t>
  </si>
  <si>
    <t>N-fertiliser</t>
  </si>
  <si>
    <t>Spreader</t>
  </si>
  <si>
    <t>Urea 120</t>
  </si>
  <si>
    <t>P-fertiliser</t>
  </si>
  <si>
    <t>TSP  120 kg/ha (a.s)</t>
  </si>
  <si>
    <t>K-fertiliser</t>
  </si>
  <si>
    <t>N-P-K fertiliser</t>
  </si>
  <si>
    <t>NPK+S+B</t>
  </si>
  <si>
    <t>S-fertiliser</t>
  </si>
  <si>
    <t>CaCO3</t>
  </si>
  <si>
    <t>Other fertiliser used</t>
  </si>
  <si>
    <t>Zn</t>
  </si>
  <si>
    <t>Mb, B</t>
  </si>
  <si>
    <t>Organic fertilizers</t>
  </si>
  <si>
    <t>Composition</t>
  </si>
  <si>
    <t>Solid</t>
  </si>
  <si>
    <t>Manure</t>
  </si>
  <si>
    <t>liquid</t>
  </si>
  <si>
    <t>Plant protection</t>
  </si>
  <si>
    <t>Please indicate the specific plant protection measures, application methods, amounts and total number of applications.</t>
  </si>
  <si>
    <t>Amount [kg or l/ha]</t>
  </si>
  <si>
    <t>Herbicide</t>
  </si>
  <si>
    <t>Trailer sprayer</t>
  </si>
  <si>
    <t>Derby Super</t>
  </si>
  <si>
    <t>Equipe (Foramsulphoron)</t>
  </si>
  <si>
    <t>spraying</t>
  </si>
  <si>
    <t>Pulsar 40</t>
  </si>
  <si>
    <t>Arat (Dicamba)</t>
  </si>
  <si>
    <t>Fungicide</t>
  </si>
  <si>
    <t>Tango Super</t>
  </si>
  <si>
    <t>Pictor</t>
  </si>
  <si>
    <t>Pesticide</t>
  </si>
  <si>
    <t>Duet ultra</t>
  </si>
  <si>
    <t>Proteus 110 OD</t>
  </si>
  <si>
    <t>Nurele D</t>
  </si>
  <si>
    <t>Nurele Dursban</t>
  </si>
  <si>
    <t>Mechanical weed management</t>
  </si>
  <si>
    <t>Harvest</t>
  </si>
  <si>
    <t>Please specify  the harvesting process, including residue treatemant and post-harvest treatment and name machinery used.</t>
  </si>
  <si>
    <t>Specify</t>
  </si>
  <si>
    <t>Harvesting</t>
  </si>
  <si>
    <t>Class Dominator</t>
  </si>
  <si>
    <t>Residue treatment</t>
  </si>
  <si>
    <t>Post-harvest treatment</t>
  </si>
  <si>
    <t>Output</t>
  </si>
  <si>
    <t>Please specify the yield and residues removed, name machinery used and the average selling price of the crop.</t>
  </si>
  <si>
    <t xml:space="preserve">Amount [t/ha] </t>
  </si>
  <si>
    <t>Price [EUR/ha]</t>
  </si>
  <si>
    <t>Yield</t>
  </si>
  <si>
    <t>Residue removed</t>
  </si>
  <si>
    <t>Variable costs</t>
  </si>
  <si>
    <t xml:space="preserve">Please indicate the specific costs of production, the total variable costs and subsidies. </t>
  </si>
  <si>
    <t>Costs of seeds (Unit [EUR/ha])</t>
  </si>
  <si>
    <t>Total costs of fertilizer (Unit [EUR/ha])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</si>
  <si>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</si>
  <si>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</si>
  <si>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</si>
  <si>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</si>
  <si>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</si>
  <si>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</si>
  <si>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Subsidies (general + specific per crop (Unit [EUR/ha])</t>
  </si>
  <si>
    <t>Forage pea</t>
  </si>
  <si>
    <t>winter wheat</t>
  </si>
  <si>
    <t>soid</t>
  </si>
  <si>
    <t>Pleven 4</t>
  </si>
  <si>
    <t>MAP</t>
  </si>
  <si>
    <t>Other fertiliser used?</t>
  </si>
  <si>
    <t>Compost</t>
  </si>
  <si>
    <t>Bentazone</t>
  </si>
  <si>
    <t>1500 ml /ha</t>
  </si>
  <si>
    <t>Derby</t>
  </si>
  <si>
    <t>Duet Ultra</t>
  </si>
  <si>
    <t>Falkon 460EK</t>
  </si>
  <si>
    <t>Proteus 110</t>
  </si>
  <si>
    <t xml:space="preserve">Crop [forage pea]: </t>
  </si>
  <si>
    <t>Crop [winter wheat]:</t>
  </si>
  <si>
    <t>Crop [maize]:</t>
  </si>
  <si>
    <t>Crop [sunflower]:</t>
  </si>
  <si>
    <t>Number of year</t>
  </si>
  <si>
    <t xml:space="preserve">Yield [t/ha] </t>
  </si>
  <si>
    <t>Crop [name of crop]:</t>
  </si>
  <si>
    <t>NH4NO3 100 kg/ha (a.s)</t>
  </si>
  <si>
    <t>Spreeder</t>
  </si>
  <si>
    <t>Spraying</t>
  </si>
  <si>
    <t>active substance of the fertilizer which was applied</t>
  </si>
  <si>
    <t xml:space="preserve">11% N, 52% P2O5 </t>
  </si>
  <si>
    <t>No ploughing</t>
  </si>
  <si>
    <t>2 l</t>
  </si>
  <si>
    <t>Class Dominator, DATE: September</t>
  </si>
  <si>
    <t xml:space="preserve">Contact person:
</t>
  </si>
  <si>
    <t>Dr. Anelia Iantcheva (aneliaiancheva@abi.bg)</t>
  </si>
  <si>
    <t xml:space="preserve">Acknowledgement to:
</t>
  </si>
  <si>
    <t>How representative are the data?</t>
  </si>
  <si>
    <t>Data representing practical farming?</t>
  </si>
  <si>
    <t>Yes</t>
  </si>
  <si>
    <t>Data coming from averages over several years?</t>
  </si>
  <si>
    <t>No</t>
  </si>
  <si>
    <t xml:space="preserve">Therefore they are a real, practically cultivated crop rotations with specific management and yield data for these fields and years. 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</si>
  <si>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</si>
  <si>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</si>
  <si>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</si>
  <si>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There are also differences in the management and yield of the other crops.</t>
  </si>
  <si>
    <t>Prof. Viliana Vasileva (Institute of Forage Crops, Pleven) and Dr. Anelia Iantcheva (Institution: AgroBioInstitute, Sofia)</t>
  </si>
  <si>
    <t xml:space="preserve">The data for the rotations are coming from fields in the Institute of Forage Crops. </t>
  </si>
  <si>
    <t>Nurelle Dursban</t>
  </si>
  <si>
    <t>Nurelle D</t>
  </si>
  <si>
    <t>The rotations are typical in terms of crop choice and management for Bulgaria.</t>
  </si>
  <si>
    <t>These are actual crop rotations in the fields from the production years 2015-2019 and are not representative for a longer time period.</t>
  </si>
  <si>
    <t>Average yields from statisitics for each year from the institute.</t>
  </si>
  <si>
    <t xml:space="preserve">35-40 cm, OctoberDATE: </t>
  </si>
  <si>
    <t xml:space="preserve">35 cm, DATE: October </t>
  </si>
  <si>
    <t>Disc harrow-twice, DATE: First decade of September and third decade of September</t>
  </si>
  <si>
    <t xml:space="preserve">10-15 cm, March /DATE: </t>
  </si>
  <si>
    <t>10-15 cm, DATE:  March</t>
  </si>
  <si>
    <t>Pneumatic seed drill,  DATE: End of September or first days of October</t>
  </si>
  <si>
    <t>pneumatic, End of March /DATE:</t>
  </si>
  <si>
    <t>pneumatic, DATE: End of March first decade of April</t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</si>
  <si>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 xml:space="preserve"> 140 kg/ha (a.s)</t>
    </r>
  </si>
  <si>
    <t>1, DATE: Second or third decade of February</t>
  </si>
  <si>
    <r>
      <t>NH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>NO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 xml:space="preserve"> 160 kg/ha (a.s)</t>
    </r>
  </si>
  <si>
    <t xml:space="preserve">1, DATE:  April </t>
  </si>
  <si>
    <t>1, DATE: End of March first decade of April</t>
  </si>
  <si>
    <t>1, DATE: October before ploughing</t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</si>
  <si>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>4</t>
    </r>
    <r>
      <rPr>
        <sz val="11"/>
        <rFont val="Calibri"/>
        <family val="2"/>
        <scheme val="minor"/>
      </rPr>
      <t xml:space="preserve"> 80 kg/ha (a.s)</t>
    </r>
  </si>
  <si>
    <r>
      <t>N</t>
    </r>
    <r>
      <rPr>
        <vertAlign val="subscript"/>
        <sz val="11"/>
        <rFont val="Calibri"/>
        <family val="2"/>
      </rPr>
      <t>8</t>
    </r>
    <r>
      <rPr>
        <sz val="11"/>
        <rFont val="Calibri"/>
        <family val="2"/>
        <scheme val="minor"/>
      </rPr>
      <t>P</t>
    </r>
    <r>
      <rPr>
        <vertAlign val="subscript"/>
        <sz val="11"/>
        <rFont val="Calibri"/>
        <family val="2"/>
      </rPr>
      <t>16</t>
    </r>
    <r>
      <rPr>
        <sz val="11"/>
        <rFont val="Calibri"/>
        <family val="2"/>
        <scheme val="minor"/>
      </rPr>
      <t>K</t>
    </r>
    <r>
      <rPr>
        <vertAlign val="subscript"/>
        <sz val="11"/>
        <rFont val="Calibri"/>
        <family val="2"/>
      </rPr>
      <t>20</t>
    </r>
    <r>
      <rPr>
        <sz val="11"/>
        <rFont val="Calibri"/>
        <family val="2"/>
        <scheme val="minor"/>
      </rPr>
      <t xml:space="preserve"> +SO</t>
    </r>
    <r>
      <rPr>
        <vertAlign val="subscript"/>
        <sz val="11"/>
        <rFont val="Calibri"/>
        <family val="2"/>
      </rPr>
      <t>3</t>
    </r>
    <r>
      <rPr>
        <sz val="11"/>
        <rFont val="Calibri"/>
        <family val="2"/>
        <scheme val="minor"/>
      </rPr>
      <t>+B</t>
    </r>
  </si>
  <si>
    <t>1, DATE: May</t>
  </si>
  <si>
    <t>1, May /DATE:</t>
  </si>
  <si>
    <r>
      <t>Total amount [kg or m</t>
    </r>
    <r>
      <rPr>
        <vertAlign val="superscript"/>
        <sz val="11"/>
        <rFont val="Calibri"/>
        <family val="2"/>
      </rPr>
      <t>3</t>
    </r>
    <r>
      <rPr>
        <sz val="11"/>
        <rFont val="Calibri"/>
        <family val="2"/>
        <scheme val="minor"/>
      </rPr>
      <t>/ha]</t>
    </r>
  </si>
  <si>
    <t>1, DATE: March</t>
  </si>
  <si>
    <t xml:space="preserve">1, DATE:  First decade of April </t>
  </si>
  <si>
    <t>1, DATE: April</t>
  </si>
  <si>
    <t>DATE: April</t>
  </si>
  <si>
    <t>DATE: May</t>
  </si>
  <si>
    <t>1, DATE:  End of April first decade of May</t>
  </si>
  <si>
    <t>1, DATE: First decade of April</t>
  </si>
  <si>
    <t xml:space="preserve">Class Dominator, DATE:  First decade of July </t>
  </si>
  <si>
    <t xml:space="preserve">Class Dominator, DATE: September </t>
  </si>
  <si>
    <t>Class Dominator, DATE: August</t>
  </si>
  <si>
    <t>Ploughing (30 cm depth), DATE: October</t>
  </si>
  <si>
    <t>35-40 cm, DATE: October</t>
  </si>
  <si>
    <t>Disc harrow, DATE:Middle of February or first decade of March</t>
  </si>
  <si>
    <t>Disc harrow, DATE: Midle of September</t>
  </si>
  <si>
    <t>10-15 cm, DATE: March</t>
  </si>
  <si>
    <t>Disc harrow, DATE:End of February or first decade of March</t>
  </si>
  <si>
    <t>Mehanic seed drill, DATE: First decades of March</t>
  </si>
  <si>
    <t>Mehanic seed drill, DATE: End of september or first decade of October</t>
  </si>
  <si>
    <t>pneumatic, DATE: First decade of April</t>
  </si>
  <si>
    <t>pneumatic, DATE: End of March or first decade of April</t>
  </si>
  <si>
    <t>1, DATE: First decades of March</t>
  </si>
  <si>
    <r>
      <t>K</t>
    </r>
    <r>
      <rPr>
        <vertAlign val="subscript"/>
        <sz val="11"/>
        <rFont val="Calibri"/>
        <family val="2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family val="2"/>
      </rPr>
      <t xml:space="preserve">4 </t>
    </r>
    <r>
      <rPr>
        <sz val="11"/>
        <rFont val="Calibri"/>
        <family val="2"/>
      </rPr>
      <t>100</t>
    </r>
  </si>
  <si>
    <t>1, DATE: October</t>
  </si>
  <si>
    <t>1, DATE: End of March or first decade of april</t>
  </si>
  <si>
    <t>Combine harvester, DATE: End of June or First decade of July</t>
  </si>
  <si>
    <t xml:space="preserve">Disc harrow, DATE: Middle or end of July </t>
  </si>
  <si>
    <t>Disc harrow-twice, DATE: First decade of September and third decade od September</t>
  </si>
  <si>
    <t>Mechanic seed drill, DATE: First decade of March</t>
  </si>
  <si>
    <t>1, DATE: Second decade of February</t>
  </si>
  <si>
    <t>1, DATE: End of March or first decade of April</t>
  </si>
  <si>
    <t>Disc harrow, DATE: End of July</t>
  </si>
  <si>
    <t>2015-2019</t>
  </si>
  <si>
    <t>Crop 1</t>
  </si>
  <si>
    <t>Crop 2</t>
  </si>
  <si>
    <t>Crop 3</t>
  </si>
  <si>
    <t>Crop 4</t>
  </si>
  <si>
    <t xml:space="preserve">Without legumes: </t>
  </si>
  <si>
    <t>Maize</t>
  </si>
  <si>
    <t>Sunflower</t>
  </si>
  <si>
    <t xml:space="preserve">With legumes option 1: </t>
  </si>
  <si>
    <t>Winter wheat</t>
  </si>
  <si>
    <t xml:space="preserve">With legumes option 2: </t>
  </si>
  <si>
    <t>-</t>
  </si>
  <si>
    <t>Soy</t>
  </si>
  <si>
    <t>Pea</t>
  </si>
  <si>
    <t>NH4NO3</t>
  </si>
  <si>
    <t>Content N</t>
  </si>
  <si>
    <r>
      <t>N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+SO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+B</t>
    </r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</si>
  <si>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</si>
  <si>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</si>
  <si>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</si>
  <si>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</si>
  <si>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</si>
  <si>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</si>
  <si>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</si>
  <si>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</si>
  <si>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</si>
  <si>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</si>
  <si>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</si>
  <si>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</si>
  <si>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</si>
  <si>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 option 1</t>
  </si>
  <si>
    <t>With legumes option 2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</si>
  <si>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</si>
  <si>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</si>
  <si>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</si>
  <si>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</si>
  <si>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</si>
  <si>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</si>
  <si>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</si>
  <si>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</si>
  <si>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</si>
  <si>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</si>
  <si>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>Coefficient of variation</t>
  </si>
  <si>
    <t>N fertilizers</t>
  </si>
  <si>
    <t>Yield stability (CV)</t>
  </si>
  <si>
    <t>Disc harrow, DATE: Middle of August 10-15 cm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</si>
  <si>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</si>
  <si>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</si>
  <si>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</si>
  <si>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</si>
  <si>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</si>
  <si>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</si>
  <si>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</si>
  <si>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</si>
  <si>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</si>
  <si>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</si>
  <si>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</si>
  <si>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</si>
  <si>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</si>
  <si>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</si>
  <si>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</si>
  <si>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</si>
  <si>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</si>
  <si>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</si>
  <si>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</si>
  <si>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</si>
  <si>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</si>
  <si>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</si>
  <si>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</si>
  <si>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</si>
  <si>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</si>
  <si>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</si>
  <si>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</si>
  <si>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</si>
  <si>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</si>
  <si>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</si>
  <si>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</si>
  <si>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</si>
  <si>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</si>
  <si>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Winter rape</t>
  </si>
  <si>
    <t>Winter barley</t>
  </si>
  <si>
    <t>Winter oat</t>
  </si>
  <si>
    <t>Spring barley</t>
  </si>
  <si>
    <t>Field pea</t>
  </si>
  <si>
    <t>Faba bean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</si>
  <si>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</si>
  <si>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</si>
  <si>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</si>
  <si>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</si>
  <si>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</si>
  <si>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</si>
  <si>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</si>
  <si>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</si>
  <si>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</si>
  <si>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</si>
  <si>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</si>
  <si>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</si>
  <si>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</si>
  <si>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</si>
  <si>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</si>
  <si>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</si>
  <si>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</si>
  <si>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</si>
  <si>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</si>
  <si>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</si>
  <si>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</si>
  <si>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</si>
  <si>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</si>
  <si>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</si>
  <si>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</si>
  <si>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</si>
  <si>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</si>
  <si>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</si>
  <si>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NPK</t>
  </si>
  <si>
    <t>Euroserial Duo</t>
  </si>
  <si>
    <t>Sulfano</t>
  </si>
  <si>
    <t>DAP</t>
  </si>
  <si>
    <t>Lebosol</t>
  </si>
  <si>
    <t>CAN</t>
  </si>
  <si>
    <t>IPCCID</t>
  </si>
  <si>
    <t>Soya</t>
  </si>
  <si>
    <t>Dry bean</t>
  </si>
  <si>
    <t>N8P16K20 +SO3+B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</si>
  <si>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</si>
  <si>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</si>
  <si>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</si>
  <si>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</si>
  <si>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</si>
  <si>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</si>
  <si>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</si>
  <si>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</si>
  <si>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</si>
  <si>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</si>
  <si>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Crude protein [% DM]</t>
  </si>
  <si>
    <t>Gross energy [GJ/t DM]</t>
  </si>
  <si>
    <t xml:space="preserve">Rye </t>
  </si>
  <si>
    <t>Tritcale</t>
  </si>
  <si>
    <t>Rapeseeds</t>
  </si>
  <si>
    <t>Blue lupin</t>
  </si>
  <si>
    <t>Pea seeds</t>
  </si>
  <si>
    <t>Oat</t>
  </si>
  <si>
    <t>Maize silage</t>
  </si>
  <si>
    <t>Alfalfa</t>
  </si>
  <si>
    <t>Soybean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</si>
  <si>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</si>
  <si>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</si>
  <si>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</si>
  <si>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</si>
  <si>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</si>
  <si>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</si>
  <si>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</si>
  <si>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</si>
  <si>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</si>
  <si>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</si>
  <si>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</si>
  <si>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</si>
  <si>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</si>
  <si>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</si>
  <si>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</si>
  <si>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DM content</t>
  </si>
  <si>
    <t>Yield DM [t/ha]</t>
  </si>
  <si>
    <t>Protein output [t/ha]</t>
  </si>
  <si>
    <t>Protein output rotations [kg/ha]</t>
  </si>
  <si>
    <t xml:space="preserve">Energy output rotations [GJ/ha] 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</si>
  <si>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</si>
  <si>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</si>
  <si>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</si>
  <si>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</si>
  <si>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</si>
  <si>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</si>
  <si>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GM 'feed calculator' per crop [€/ha]</t>
  </si>
  <si>
    <t>GM 'feed calculator' per rotation [€/ha]</t>
  </si>
  <si>
    <t>Prices feed calculator*</t>
  </si>
  <si>
    <t>Input prices [€/t] (Eurostat: https://ec.europa.eu/eurostat/databrowser/view/APRI_AP_INA__custom_152018/default/table?lang=en)</t>
  </si>
  <si>
    <t>Output price  [€/t]</t>
  </si>
  <si>
    <t>*Landesbetrieb Landwirtschaft Hessen (LLH) (2018) Berechnung der Preiswürdigkeit von</t>
  </si>
  <si>
    <t>Einzelfuttermitteln für Schweine nach der Austauschmethode Löhr. Excel-based calculation tool. Landesbetrieb</t>
  </si>
  <si>
    <t>Landwirtschaft Hessen. Available at: https://www.proteinmarkt.de/aktuelles/schweine/rationsberechnung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</si>
  <si>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</si>
  <si>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</si>
  <si>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</si>
  <si>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</si>
  <si>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>Nfix [kg/ha]</t>
  </si>
  <si>
    <t>Calculations</t>
  </si>
  <si>
    <t>-&gt; valid for non-legumes</t>
  </si>
  <si>
    <t>-&gt; valid for legumes and non-legumes</t>
  </si>
  <si>
    <t>(N input encloses additional N from seed)</t>
  </si>
  <si>
    <t>Gross margin (standard) [€/ha]</t>
  </si>
  <si>
    <t xml:space="preserve"> N leaching= N surplus * Leaching probability * N leach_corr</t>
  </si>
  <si>
    <t>N surplus = N input + Nminpa - N dfs</t>
  </si>
  <si>
    <t>N surplus = N minfert + N manure P + Nminpa - N dfs</t>
  </si>
  <si>
    <t xml:space="preserve">N dfs is the nitrogen derived from soil </t>
  </si>
  <si>
    <t>N dfs = N uptake + N fix</t>
  </si>
  <si>
    <t>-&gt; N uptake is the N accumulated by the crop and N fix is BNF of grain and forage legumes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</si>
</sst>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"/>
    <numFmt numFmtId="166" formatCode="0.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indexed="8"/>
      <name val="Calibri"/>
      <family val="2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</cellStyleXfs>
  <cellXfs count="322">
    <xf numFmtId="0" fontId="0" fillId="0" borderId="0" xfId="0"/>
    <xf numFmtId="0" fontId="0" fillId="0" borderId="0" xfId="0" quotePrefix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4" borderId="0" xfId="0" applyFill="1"/>
    <xf numFmtId="0" fontId="0" fillId="4" borderId="0" xfId="0" applyFill="1" applyBorder="1"/>
    <xf numFmtId="0" fontId="0" fillId="0" borderId="2" xfId="0" applyBorder="1"/>
    <xf numFmtId="0" fontId="1" fillId="0" borderId="3" xfId="0" applyFont="1" applyBorder="1"/>
    <xf numFmtId="0" fontId="1" fillId="4" borderId="7" xfId="0" applyFont="1" applyFill="1" applyBorder="1" applyAlignment="1"/>
    <xf numFmtId="0" fontId="0" fillId="4" borderId="7" xfId="0" applyFill="1" applyBorder="1"/>
    <xf numFmtId="0" fontId="4" fillId="3" borderId="10" xfId="0" applyFont="1" applyFill="1" applyBorder="1"/>
    <xf numFmtId="0" fontId="0" fillId="4" borderId="0" xfId="0" applyFill="1" applyBorder="1" applyAlignment="1"/>
    <xf numFmtId="0" fontId="4" fillId="3" borderId="14" xfId="0" applyFont="1" applyFill="1" applyBorder="1"/>
    <xf numFmtId="0" fontId="0" fillId="4" borderId="15" xfId="0" applyFill="1" applyBorder="1"/>
    <xf numFmtId="0" fontId="0" fillId="3" borderId="19" xfId="0" applyFill="1" applyBorder="1"/>
    <xf numFmtId="0" fontId="0" fillId="4" borderId="20" xfId="0" applyFill="1" applyBorder="1"/>
    <xf numFmtId="0" fontId="0" fillId="0" borderId="24" xfId="0" applyBorder="1" applyAlignment="1"/>
    <xf numFmtId="0" fontId="0" fillId="0" borderId="25" xfId="0" applyBorder="1" applyAlignment="1"/>
    <xf numFmtId="0" fontId="0" fillId="0" borderId="13" xfId="0" applyBorder="1" applyAlignment="1"/>
    <xf numFmtId="0" fontId="0" fillId="0" borderId="12" xfId="0" applyBorder="1"/>
    <xf numFmtId="0" fontId="0" fillId="0" borderId="13" xfId="0" applyBorder="1"/>
    <xf numFmtId="0" fontId="0" fillId="8" borderId="3" xfId="0" applyFill="1" applyBorder="1"/>
    <xf numFmtId="0" fontId="0" fillId="8" borderId="10" xfId="0" applyFill="1" applyBorder="1"/>
    <xf numFmtId="0" fontId="0" fillId="8" borderId="25" xfId="0" applyFill="1" applyBorder="1"/>
    <xf numFmtId="0" fontId="0" fillId="8" borderId="34" xfId="0" applyFill="1" applyBorder="1"/>
    <xf numFmtId="0" fontId="0" fillId="8" borderId="31" xfId="0" applyFill="1" applyBorder="1"/>
    <xf numFmtId="0" fontId="0" fillId="0" borderId="12" xfId="0" applyBorder="1" applyAlignment="1">
      <alignment horizontal="center" textRotation="90"/>
    </xf>
    <xf numFmtId="0" fontId="0" fillId="4" borderId="28" xfId="0" applyFill="1" applyBorder="1"/>
    <xf numFmtId="0" fontId="0" fillId="0" borderId="0" xfId="0" applyBorder="1"/>
    <xf numFmtId="0" fontId="0" fillId="4" borderId="1" xfId="0" applyFill="1" applyBorder="1"/>
    <xf numFmtId="0" fontId="0" fillId="8" borderId="29" xfId="0" applyFill="1" applyBorder="1"/>
    <xf numFmtId="0" fontId="0" fillId="8" borderId="25" xfId="0" applyFill="1" applyBorder="1" applyAlignment="1">
      <alignment wrapText="1"/>
    </xf>
    <xf numFmtId="0" fontId="0" fillId="4" borderId="53" xfId="0" applyFill="1" applyBorder="1"/>
    <xf numFmtId="0" fontId="4" fillId="3" borderId="25" xfId="0" applyFont="1" applyFill="1" applyBorder="1"/>
    <xf numFmtId="0" fontId="0" fillId="3" borderId="31" xfId="0" applyFill="1" applyBorder="1"/>
    <xf numFmtId="0" fontId="0" fillId="4" borderId="4" xfId="0" applyFill="1" applyBorder="1"/>
    <xf numFmtId="2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4" fillId="9" borderId="29" xfId="0" applyFont="1" applyFill="1" applyBorder="1"/>
    <xf numFmtId="0" fontId="0" fillId="9" borderId="25" xfId="0" applyFill="1" applyBorder="1"/>
    <xf numFmtId="0" fontId="0" fillId="9" borderId="31" xfId="0" applyFill="1" applyBorder="1" applyAlignment="1">
      <alignment wrapText="1"/>
    </xf>
    <xf numFmtId="0" fontId="0" fillId="9" borderId="31" xfId="0" applyFill="1" applyBorder="1"/>
    <xf numFmtId="0" fontId="0" fillId="10" borderId="29" xfId="0" applyFill="1" applyBorder="1"/>
    <xf numFmtId="0" fontId="0" fillId="10" borderId="25" xfId="0" applyFill="1" applyBorder="1"/>
    <xf numFmtId="0" fontId="0" fillId="10" borderId="31" xfId="0" applyFill="1" applyBorder="1"/>
    <xf numFmtId="0" fontId="0" fillId="9" borderId="3" xfId="0" applyFill="1" applyBorder="1"/>
    <xf numFmtId="0" fontId="0" fillId="9" borderId="10" xfId="0" applyFill="1" applyBorder="1"/>
    <xf numFmtId="0" fontId="0" fillId="8" borderId="10" xfId="0" applyFill="1" applyBorder="1" applyAlignment="1">
      <alignment vertical="top"/>
    </xf>
    <xf numFmtId="0" fontId="5" fillId="0" borderId="0" xfId="0" applyFont="1" applyAlignment="1"/>
    <xf numFmtId="0" fontId="5" fillId="0" borderId="0" xfId="0" applyFont="1"/>
    <xf numFmtId="0" fontId="0" fillId="0" borderId="0" xfId="0" applyAlignment="1"/>
    <xf numFmtId="0" fontId="6" fillId="0" borderId="0" xfId="0" applyFont="1"/>
    <xf numFmtId="0" fontId="7" fillId="4" borderId="0" xfId="0" applyFont="1" applyFill="1" applyBorder="1" applyAlignment="1"/>
    <xf numFmtId="0" fontId="7" fillId="4" borderId="15" xfId="0" applyFont="1" applyFill="1" applyBorder="1" applyAlignment="1"/>
    <xf numFmtId="0" fontId="7" fillId="4" borderId="20" xfId="0" applyFont="1" applyFill="1" applyBorder="1" applyAlignment="1"/>
    <xf numFmtId="0" fontId="7" fillId="4" borderId="0" xfId="0" applyFont="1" applyFill="1" applyBorder="1"/>
    <xf numFmtId="0" fontId="7" fillId="8" borderId="37" xfId="0" applyFont="1" applyFill="1" applyBorder="1" applyAlignment="1">
      <alignment horizontal="center"/>
    </xf>
    <xf numFmtId="0" fontId="7" fillId="8" borderId="38" xfId="0" applyFont="1" applyFill="1" applyBorder="1" applyAlignment="1"/>
    <xf numFmtId="0" fontId="7" fillId="8" borderId="38" xfId="0" applyFont="1" applyFill="1" applyBorder="1" applyAlignment="1">
      <alignment horizontal="center"/>
    </xf>
    <xf numFmtId="0" fontId="7" fillId="8" borderId="38" xfId="0" applyFont="1" applyFill="1" applyBorder="1" applyAlignment="1">
      <alignment horizontal="left"/>
    </xf>
    <xf numFmtId="0" fontId="7" fillId="8" borderId="30" xfId="0" applyFont="1" applyFill="1" applyBorder="1" applyAlignment="1">
      <alignment horizontal="center"/>
    </xf>
    <xf numFmtId="9" fontId="7" fillId="8" borderId="43" xfId="0" applyNumberFormat="1" applyFont="1" applyFill="1" applyBorder="1" applyAlignment="1">
      <alignment horizontal="center"/>
    </xf>
    <xf numFmtId="166" fontId="7" fillId="8" borderId="15" xfId="0" applyNumberFormat="1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left"/>
    </xf>
    <xf numFmtId="9" fontId="7" fillId="8" borderId="30" xfId="0" applyNumberFormat="1" applyFont="1" applyFill="1" applyBorder="1" applyAlignment="1">
      <alignment horizontal="center"/>
    </xf>
    <xf numFmtId="9" fontId="7" fillId="8" borderId="1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left"/>
    </xf>
    <xf numFmtId="0" fontId="7" fillId="8" borderId="41" xfId="0" applyFont="1" applyFill="1" applyBorder="1" applyAlignment="1">
      <alignment horizontal="center"/>
    </xf>
    <xf numFmtId="0" fontId="7" fillId="8" borderId="41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9" fontId="7" fillId="8" borderId="17" xfId="0" applyNumberFormat="1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8" borderId="44" xfId="0" applyFont="1" applyFill="1" applyBorder="1" applyAlignment="1">
      <alignment horizontal="left"/>
    </xf>
    <xf numFmtId="0" fontId="7" fillId="8" borderId="47" xfId="0" applyFont="1" applyFill="1" applyBorder="1" applyAlignment="1">
      <alignment horizontal="left"/>
    </xf>
    <xf numFmtId="0" fontId="7" fillId="8" borderId="47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7" fillId="4" borderId="28" xfId="0" applyFont="1" applyFill="1" applyBorder="1"/>
    <xf numFmtId="0" fontId="7" fillId="9" borderId="40" xfId="0" applyFont="1" applyFill="1" applyBorder="1" applyAlignment="1">
      <alignment horizontal="center"/>
    </xf>
    <xf numFmtId="0" fontId="7" fillId="9" borderId="44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4" borderId="53" xfId="0" applyFont="1" applyFill="1" applyBorder="1"/>
    <xf numFmtId="0" fontId="7" fillId="4" borderId="0" xfId="0" applyFont="1" applyFill="1"/>
    <xf numFmtId="0" fontId="7" fillId="4" borderId="0" xfId="0" applyFont="1" applyFill="1" applyAlignment="1"/>
    <xf numFmtId="0" fontId="7" fillId="4" borderId="4" xfId="0" applyFont="1" applyFill="1" applyBorder="1"/>
    <xf numFmtId="0" fontId="7" fillId="8" borderId="44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left"/>
    </xf>
    <xf numFmtId="0" fontId="7" fillId="4" borderId="1" xfId="0" applyFont="1" applyFill="1" applyBorder="1"/>
    <xf numFmtId="0" fontId="7" fillId="8" borderId="30" xfId="0" applyFont="1" applyFill="1" applyBorder="1" applyAlignment="1">
      <alignment horizontal="center" vertical="top"/>
    </xf>
    <xf numFmtId="9" fontId="7" fillId="8" borderId="43" xfId="0" applyNumberFormat="1" applyFont="1" applyFill="1" applyBorder="1" applyAlignment="1">
      <alignment horizontal="center" vertical="top"/>
    </xf>
    <xf numFmtId="166" fontId="7" fillId="8" borderId="15" xfId="0" applyNumberFormat="1" applyFont="1" applyFill="1" applyBorder="1" applyAlignment="1">
      <alignment horizontal="center" vertical="top"/>
    </xf>
    <xf numFmtId="166" fontId="7" fillId="8" borderId="43" xfId="0" applyNumberFormat="1" applyFont="1" applyFill="1" applyBorder="1" applyAlignment="1">
      <alignment horizontal="center"/>
    </xf>
    <xf numFmtId="0" fontId="7" fillId="8" borderId="41" xfId="0" applyFont="1" applyFill="1" applyBorder="1" applyAlignment="1">
      <alignment horizontal="left" vertical="center"/>
    </xf>
    <xf numFmtId="0" fontId="7" fillId="8" borderId="60" xfId="0" applyFont="1" applyFill="1" applyBorder="1" applyAlignment="1">
      <alignment horizontal="center"/>
    </xf>
    <xf numFmtId="0" fontId="7" fillId="8" borderId="42" xfId="0" applyFont="1" applyFill="1" applyBorder="1" applyAlignment="1"/>
    <xf numFmtId="0" fontId="7" fillId="8" borderId="15" xfId="0" applyFont="1" applyFill="1" applyBorder="1" applyAlignment="1"/>
    <xf numFmtId="0" fontId="7" fillId="8" borderId="46" xfId="0" applyFont="1" applyFill="1" applyBorder="1" applyAlignment="1"/>
    <xf numFmtId="9" fontId="0" fillId="0" borderId="0" xfId="1" applyFont="1"/>
    <xf numFmtId="9" fontId="0" fillId="0" borderId="0" xfId="0" applyNumberFormat="1"/>
    <xf numFmtId="2" fontId="0" fillId="0" borderId="0" xfId="0" quotePrefix="1" applyNumberFormat="1"/>
    <xf numFmtId="0" fontId="14" fillId="0" borderId="61" xfId="2" applyFont="1" applyFill="1" applyBorder="1" applyAlignment="1">
      <alignment wrapText="1"/>
    </xf>
    <xf numFmtId="0" fontId="14" fillId="0" borderId="61" xfId="3" applyFont="1" applyFill="1" applyBorder="1" applyAlignment="1">
      <alignment wrapText="1"/>
    </xf>
    <xf numFmtId="0" fontId="14" fillId="0" borderId="0" xfId="3" applyFont="1" applyFill="1" applyBorder="1" applyAlignment="1">
      <alignment wrapText="1"/>
    </xf>
    <xf numFmtId="0" fontId="14" fillId="0" borderId="0" xfId="2" applyFont="1" applyFill="1" applyBorder="1" applyAlignment="1"/>
    <xf numFmtId="0" fontId="14" fillId="0" borderId="0" xfId="2" applyFont="1" applyFill="1" applyBorder="1" applyAlignment="1">
      <alignment wrapText="1"/>
    </xf>
    <xf numFmtId="0" fontId="14" fillId="0" borderId="28" xfId="4" applyFont="1" applyFill="1" applyBorder="1" applyAlignment="1">
      <alignment horizontal="left" wrapText="1"/>
    </xf>
    <xf numFmtId="0" fontId="14" fillId="0" borderId="28" xfId="4" applyFont="1" applyFill="1" applyBorder="1" applyAlignment="1">
      <alignment horizontal="right" wrapText="1"/>
    </xf>
    <xf numFmtId="0" fontId="0" fillId="0" borderId="62" xfId="0" applyBorder="1"/>
    <xf numFmtId="0" fontId="5" fillId="0" borderId="62" xfId="0" applyFont="1" applyBorder="1"/>
    <xf numFmtId="0" fontId="5" fillId="0" borderId="44" xfId="0" applyFont="1" applyBorder="1"/>
    <xf numFmtId="0" fontId="0" fillId="0" borderId="4" xfId="0" applyBorder="1"/>
    <xf numFmtId="0" fontId="5" fillId="0" borderId="0" xfId="0" applyFont="1" applyBorder="1"/>
    <xf numFmtId="0" fontId="0" fillId="11" borderId="0" xfId="0" applyFill="1"/>
    <xf numFmtId="0" fontId="0" fillId="0" borderId="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 wrapText="1"/>
    </xf>
    <xf numFmtId="164" fontId="0" fillId="0" borderId="63" xfId="0" applyNumberFormat="1" applyFill="1" applyBorder="1" applyAlignment="1">
      <alignment horizontal="center" vertical="center" wrapText="1"/>
    </xf>
    <xf numFmtId="0" fontId="0" fillId="12" borderId="0" xfId="0" applyFill="1"/>
    <xf numFmtId="0" fontId="17" fillId="0" borderId="0" xfId="0" applyFont="1" applyBorder="1"/>
    <xf numFmtId="0" fontId="5" fillId="0" borderId="0" xfId="0" applyFont="1" applyFill="1" applyBorder="1"/>
    <xf numFmtId="1" fontId="0" fillId="0" borderId="0" xfId="0" applyNumberFormat="1"/>
    <xf numFmtId="0" fontId="5" fillId="13" borderId="0" xfId="0" applyFont="1" applyFill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ill="1" applyBorder="1"/>
    <xf numFmtId="0" fontId="0" fillId="14" borderId="0" xfId="0" applyFill="1"/>
    <xf numFmtId="0" fontId="7" fillId="8" borderId="47" xfId="0" applyFont="1" applyFill="1" applyBorder="1" applyAlignment="1">
      <alignment horizontal="left"/>
    </xf>
    <xf numFmtId="2" fontId="20" fillId="0" borderId="65" xfId="0" applyNumberFormat="1" applyFont="1" applyFill="1" applyBorder="1" applyAlignment="1" applyProtection="1">
      <alignment horizontal="right" vertical="center" wrapText="1"/>
    </xf>
    <xf numFmtId="1" fontId="20" fillId="0" borderId="64" xfId="0" applyNumberFormat="1" applyFont="1" applyFill="1" applyBorder="1" applyAlignment="1" applyProtection="1">
      <alignment horizontal="right" vertical="center" wrapText="1"/>
    </xf>
    <xf numFmtId="2" fontId="14" fillId="0" borderId="66" xfId="5" applyNumberFormat="1" applyFont="1" applyFill="1" applyBorder="1" applyAlignment="1">
      <alignment horizontal="right" wrapText="1"/>
    </xf>
    <xf numFmtId="2" fontId="14" fillId="0" borderId="67" xfId="5" applyNumberFormat="1" applyFont="1" applyFill="1" applyBorder="1" applyAlignment="1">
      <alignment horizontal="right" wrapText="1"/>
    </xf>
    <xf numFmtId="0" fontId="14" fillId="0" borderId="68" xfId="4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9" borderId="30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 textRotation="90" wrapText="1"/>
    </xf>
    <xf numFmtId="0" fontId="0" fillId="9" borderId="28" xfId="0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2" xfId="0" applyFont="1" applyFill="1" applyBorder="1" applyAlignment="1">
      <alignment horizontal="center"/>
    </xf>
    <xf numFmtId="0" fontId="7" fillId="10" borderId="23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0" fontId="7" fillId="10" borderId="47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9" borderId="28" xfId="0" applyFont="1" applyFill="1" applyBorder="1" applyAlignment="1">
      <alignment horizontal="center"/>
    </xf>
    <xf numFmtId="0" fontId="7" fillId="9" borderId="47" xfId="0" applyFont="1" applyFill="1" applyBorder="1" applyAlignment="1">
      <alignment horizontal="center"/>
    </xf>
    <xf numFmtId="0" fontId="7" fillId="9" borderId="19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 textRotation="90"/>
    </xf>
    <xf numFmtId="0" fontId="1" fillId="6" borderId="35" xfId="0" applyFont="1" applyFill="1" applyBorder="1" applyAlignment="1">
      <alignment horizontal="center" textRotation="90"/>
    </xf>
    <xf numFmtId="0" fontId="1" fillId="6" borderId="36" xfId="0" applyFont="1" applyFill="1" applyBorder="1" applyAlignment="1">
      <alignment horizontal="center" textRotation="90"/>
    </xf>
    <xf numFmtId="0" fontId="0" fillId="10" borderId="34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0" borderId="59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 textRotation="90"/>
    </xf>
    <xf numFmtId="0" fontId="1" fillId="7" borderId="35" xfId="0" applyFont="1" applyFill="1" applyBorder="1" applyAlignment="1">
      <alignment horizontal="center" textRotation="90"/>
    </xf>
    <xf numFmtId="0" fontId="1" fillId="7" borderId="36" xfId="0" applyFont="1" applyFill="1" applyBorder="1" applyAlignment="1">
      <alignment horizontal="center" textRotation="90"/>
    </xf>
    <xf numFmtId="0" fontId="0" fillId="8" borderId="34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9" fontId="7" fillId="8" borderId="46" xfId="0" applyNumberFormat="1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44" xfId="0" applyFont="1" applyFill="1" applyBorder="1" applyAlignment="1">
      <alignment horizontal="center"/>
    </xf>
    <xf numFmtId="9" fontId="7" fillId="8" borderId="45" xfId="0" applyNumberFormat="1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48" xfId="0" applyFont="1" applyFill="1" applyBorder="1" applyAlignment="1">
      <alignment horizontal="center"/>
    </xf>
    <xf numFmtId="0" fontId="7" fillId="8" borderId="49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7" fillId="8" borderId="23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center" wrapText="1"/>
    </xf>
    <xf numFmtId="0" fontId="1" fillId="7" borderId="50" xfId="0" applyFont="1" applyFill="1" applyBorder="1" applyAlignment="1">
      <alignment horizontal="center" textRotation="90"/>
    </xf>
    <xf numFmtId="0" fontId="1" fillId="7" borderId="12" xfId="0" applyFont="1" applyFill="1" applyBorder="1" applyAlignment="1">
      <alignment horizontal="center" textRotation="90"/>
    </xf>
    <xf numFmtId="0" fontId="1" fillId="7" borderId="18" xfId="0" applyFont="1" applyFill="1" applyBorder="1" applyAlignment="1">
      <alignment horizontal="center" textRotation="90"/>
    </xf>
    <xf numFmtId="0" fontId="7" fillId="8" borderId="39" xfId="0" applyFont="1" applyFill="1" applyBorder="1" applyAlignment="1">
      <alignment horizontal="right" wrapText="1"/>
    </xf>
    <xf numFmtId="0" fontId="7" fillId="8" borderId="40" xfId="0" applyFont="1" applyFill="1" applyBorder="1" applyAlignment="1">
      <alignment horizontal="right" wrapText="1"/>
    </xf>
    <xf numFmtId="0" fontId="7" fillId="8" borderId="1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7" fillId="8" borderId="47" xfId="0" applyFont="1" applyFill="1" applyBorder="1" applyAlignment="1">
      <alignment horizontal="left"/>
    </xf>
    <xf numFmtId="0" fontId="7" fillId="8" borderId="15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 textRotation="90"/>
    </xf>
    <xf numFmtId="0" fontId="0" fillId="10" borderId="34" xfId="0" applyFill="1" applyBorder="1" applyAlignment="1">
      <alignment horizontal="center" wrapText="1"/>
    </xf>
    <xf numFmtId="0" fontId="0" fillId="10" borderId="13" xfId="0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7" fillId="10" borderId="52" xfId="0" applyFont="1" applyFill="1" applyBorder="1" applyAlignment="1">
      <alignment horizontal="center"/>
    </xf>
    <xf numFmtId="0" fontId="7" fillId="10" borderId="40" xfId="0" applyFont="1" applyFill="1" applyBorder="1" applyAlignment="1">
      <alignment horizontal="center"/>
    </xf>
    <xf numFmtId="0" fontId="7" fillId="10" borderId="38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44" xfId="0" applyFont="1" applyFill="1" applyBorder="1" applyAlignment="1">
      <alignment horizontal="center"/>
    </xf>
    <xf numFmtId="0" fontId="7" fillId="10" borderId="43" xfId="0" applyFont="1" applyFill="1" applyBorder="1" applyAlignment="1">
      <alignment horizontal="center"/>
    </xf>
    <xf numFmtId="0" fontId="7" fillId="9" borderId="38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 textRotation="90" wrapText="1"/>
    </xf>
    <xf numFmtId="0" fontId="1" fillId="5" borderId="35" xfId="0" applyFont="1" applyFill="1" applyBorder="1" applyAlignment="1">
      <alignment horizontal="center" textRotation="90" wrapText="1"/>
    </xf>
    <xf numFmtId="0" fontId="0" fillId="9" borderId="34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7" fillId="9" borderId="39" xfId="0" applyFont="1" applyFill="1" applyBorder="1" applyAlignment="1">
      <alignment horizontal="center"/>
    </xf>
    <xf numFmtId="0" fontId="7" fillId="9" borderId="40" xfId="0" applyFont="1" applyFill="1" applyBorder="1" applyAlignment="1">
      <alignment horizontal="center"/>
    </xf>
    <xf numFmtId="0" fontId="7" fillId="9" borderId="21" xfId="0" quotePrefix="1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9" borderId="44" xfId="0" applyFont="1" applyFill="1" applyBorder="1" applyAlignment="1">
      <alignment horizontal="center"/>
    </xf>
    <xf numFmtId="0" fontId="7" fillId="9" borderId="43" xfId="0" applyFont="1" applyFill="1" applyBorder="1" applyAlignment="1">
      <alignment horizontal="center"/>
    </xf>
    <xf numFmtId="0" fontId="7" fillId="8" borderId="47" xfId="0" quotePrefix="1" applyFont="1" applyFill="1" applyBorder="1" applyAlignment="1">
      <alignment horizontal="center"/>
    </xf>
    <xf numFmtId="0" fontId="7" fillId="8" borderId="15" xfId="0" quotePrefix="1" applyFont="1" applyFill="1" applyBorder="1" applyAlignment="1">
      <alignment horizontal="center"/>
    </xf>
    <xf numFmtId="2" fontId="7" fillId="8" borderId="47" xfId="0" applyNumberFormat="1" applyFont="1" applyFill="1" applyBorder="1" applyAlignment="1">
      <alignment horizontal="center"/>
    </xf>
    <xf numFmtId="2" fontId="7" fillId="8" borderId="15" xfId="0" applyNumberFormat="1" applyFont="1" applyFill="1" applyBorder="1" applyAlignment="1">
      <alignment horizontal="center"/>
    </xf>
    <xf numFmtId="0" fontId="0" fillId="8" borderId="50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0" fillId="8" borderId="34" xfId="0" applyFill="1" applyBorder="1" applyAlignment="1">
      <alignment horizontal="left" wrapText="1"/>
    </xf>
    <xf numFmtId="0" fontId="0" fillId="8" borderId="54" xfId="0" applyFill="1" applyBorder="1" applyAlignment="1">
      <alignment horizontal="left" wrapText="1"/>
    </xf>
    <xf numFmtId="0" fontId="7" fillId="8" borderId="23" xfId="0" quotePrefix="1" applyFont="1" applyFill="1" applyBorder="1" applyAlignment="1">
      <alignment horizontal="center"/>
    </xf>
    <xf numFmtId="0" fontId="7" fillId="8" borderId="20" xfId="0" quotePrefix="1" applyFont="1" applyFill="1" applyBorder="1" applyAlignment="1">
      <alignment horizontal="center"/>
    </xf>
    <xf numFmtId="0" fontId="7" fillId="8" borderId="48" xfId="0" quotePrefix="1" applyFont="1" applyFill="1" applyBorder="1" applyAlignment="1">
      <alignment horizontal="center"/>
    </xf>
    <xf numFmtId="0" fontId="7" fillId="8" borderId="56" xfId="0" quotePrefix="1" applyFont="1" applyFill="1" applyBorder="1" applyAlignment="1">
      <alignment horizontal="center"/>
    </xf>
    <xf numFmtId="0" fontId="7" fillId="8" borderId="49" xfId="0" quotePrefix="1" applyFont="1" applyFill="1" applyBorder="1" applyAlignment="1">
      <alignment horizontal="center"/>
    </xf>
    <xf numFmtId="0" fontId="7" fillId="8" borderId="57" xfId="0" quotePrefix="1" applyFont="1" applyFill="1" applyBorder="1" applyAlignment="1">
      <alignment horizontal="center"/>
    </xf>
    <xf numFmtId="0" fontId="7" fillId="8" borderId="1" xfId="0" quotePrefix="1" applyFont="1" applyFill="1" applyBorder="1" applyAlignment="1">
      <alignment horizontal="center"/>
    </xf>
    <xf numFmtId="0" fontId="7" fillId="8" borderId="58" xfId="0" quotePrefix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3" borderId="19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9" borderId="5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166" fontId="7" fillId="8" borderId="42" xfId="0" applyNumberFormat="1" applyFont="1" applyFill="1" applyBorder="1" applyAlignment="1">
      <alignment horizontal="center"/>
    </xf>
    <xf numFmtId="166" fontId="7" fillId="8" borderId="44" xfId="0" applyNumberFormat="1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10" borderId="46" xfId="0" applyFont="1" applyFill="1" applyBorder="1" applyAlignment="1">
      <alignment horizontal="center"/>
    </xf>
    <xf numFmtId="0" fontId="7" fillId="10" borderId="45" xfId="0" applyFont="1" applyFill="1" applyBorder="1" applyAlignment="1">
      <alignment horizontal="center"/>
    </xf>
    <xf numFmtId="0" fontId="7" fillId="8" borderId="14" xfId="0" quotePrefix="1" applyFont="1" applyFill="1" applyBorder="1" applyAlignment="1">
      <alignment horizontal="center"/>
    </xf>
    <xf numFmtId="0" fontId="7" fillId="8" borderId="28" xfId="0" quotePrefix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center"/>
    </xf>
    <xf numFmtId="2" fontId="7" fillId="8" borderId="28" xfId="0" applyNumberFormat="1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 vertical="top"/>
    </xf>
    <xf numFmtId="0" fontId="7" fillId="8" borderId="44" xfId="0" applyFont="1" applyFill="1" applyBorder="1" applyAlignment="1">
      <alignment horizontal="center" vertical="top"/>
    </xf>
    <xf numFmtId="0" fontId="7" fillId="8" borderId="57" xfId="0" applyFont="1" applyFill="1" applyBorder="1" applyAlignment="1">
      <alignment horizontal="center"/>
    </xf>
    <xf numFmtId="0" fontId="7" fillId="8" borderId="58" xfId="0" applyFont="1" applyFill="1" applyBorder="1" applyAlignment="1">
      <alignment horizontal="center"/>
    </xf>
  </cellXfs>
  <cellStyles count="6">
    <cellStyle name="Prozent" xfId="1" builtinId="5"/>
    <cellStyle name="Standard" xfId="0" builtinId="0"/>
    <cellStyle name="Standard_arable-legume" xfId="4"/>
    <cellStyle name="Standard_Input data crop_1" xfId="5"/>
    <cellStyle name="Standard_Tabelle1" xfId="2"/>
    <cellStyle name="Standard_Tabelle1_1" xfId="3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652346</xdr:colOff>
      <xdr:row>2</xdr:row>
      <xdr:rowOff>154290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" y="0"/>
          <a:ext cx="12356664" cy="5200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123825</xdr:colOff>
      <xdr:row>3</xdr:row>
      <xdr:rowOff>116205</xdr:rowOff>
    </xdr:from>
    <xdr:to>
      <xdr:col>9</xdr:col>
      <xdr:colOff>624843</xdr:colOff>
      <xdr:row>6</xdr:row>
      <xdr:rowOff>66809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8688705" y="664845"/>
          <a:ext cx="3640458" cy="560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430109</xdr:colOff>
      <xdr:row>4</xdr:row>
      <xdr:rowOff>165225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0" y="0"/>
          <a:ext cx="27785909" cy="89674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267966</xdr:colOff>
      <xdr:row>2</xdr:row>
      <xdr:rowOff>154277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/>
      </xdr:nvSpPr>
      <xdr:spPr>
        <a:xfrm>
          <a:off x="0" y="0"/>
          <a:ext cx="11522706" cy="52003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H1" sqref="H1:I1"/>
    </sheetView>
  </sheetViews>
  <sheetFormatPr baseColWidth="10" defaultColWidth="11.42578125" defaultRowHeight="15" x14ac:dyDescent="0.25"/>
  <cols>
    <col min="1" max="1" width="22.28515625" bestFit="1" customWidth="1"/>
    <col min="2" max="2" width="13.140625" bestFit="1" customWidth="1"/>
    <col min="10" max="10" width="0" hidden="1" customWidth="1"/>
    <col min="13" max="13" width="0" hidden="1" customWidth="1"/>
  </cols>
  <sheetData>
    <row r="1" spans="1:18" ht="76.5" x14ac:dyDescent="0.35">
      <c r="B1" t="s">
        <v>236</v>
      </c>
      <c r="C1" t="s">
        <v>237</v>
      </c>
      <c r="D1" t="s">
        <v>238</v>
      </c>
      <c r="E1" t="s">
        <v>239</v>
      </c>
      <c r="F1" s="129" t="s">
        <v>422</v>
      </c>
      <c r="G1" s="129" t="s">
        <v>267</v>
      </c>
      <c r="H1" s="156" t="s">
        <v>268</v>
      </c>
      <c r="I1" s="156" t="s">
        <v>269</v>
      </c>
      <c r="J1" s="130" t="s">
        <v>273</v>
      </c>
      <c r="K1" s="130" t="s">
        <v>270</v>
      </c>
      <c r="L1" s="130" t="s">
        <v>271</v>
      </c>
      <c r="M1" s="130" t="s">
        <v>272</v>
      </c>
      <c r="N1" s="130" t="s">
        <v>274</v>
      </c>
      <c r="O1" s="130" t="s">
        <v>279</v>
      </c>
      <c r="P1" s="130" t="s">
        <v>275</v>
      </c>
      <c r="Q1" s="130" t="s">
        <v>367</v>
      </c>
      <c r="R1" s="130" t="s">
        <v>276</v>
      </c>
    </row>
    <row r="2" spans="1:18" x14ac:dyDescent="0.25">
      <c r="A2" t="s">
        <v>240</v>
      </c>
      <c r="B2" t="s">
        <v>244</v>
      </c>
      <c r="C2" t="s">
        <v>241</v>
      </c>
      <c r="D2" t="s">
        <v>242</v>
      </c>
      <c r="F2" s="145">
        <f>GM!B15</f>
        <v>472.43233333333336</v>
      </c>
      <c r="G2" s="145">
        <f>GM!B15</f>
        <v>472.43233333333336</v>
      </c>
      <c r="H2" s="145">
        <f>F2-(0.15*J2)</f>
        <v>351.87939933333337</v>
      </c>
      <c r="I2" s="145">
        <f>F2-(0.05*J2)</f>
        <v>432.24802199999999</v>
      </c>
      <c r="J2" s="145">
        <f>M2*5.62</f>
        <v>803.6862266666667</v>
      </c>
      <c r="K2" s="145">
        <f>'NO3'!K6</f>
        <v>40.03740380952383</v>
      </c>
      <c r="L2" s="145">
        <f>'N fertilizer'!B23</f>
        <v>143.00466666666668</v>
      </c>
      <c r="M2" s="145">
        <v>143.00466666666668</v>
      </c>
      <c r="N2" s="147">
        <f>'N2O calculations'!A31/3</f>
        <v>6.184869108199547</v>
      </c>
      <c r="O2" s="122">
        <f>'Data for yield stability'!H23</f>
        <v>0.11322391885849581</v>
      </c>
      <c r="P2" s="145">
        <f>'Protein &amp; Energy Output'!C16</f>
        <v>529.54866666666658</v>
      </c>
      <c r="Q2" s="145">
        <f>'Protein &amp; Energy Output'!B21</f>
        <v>90.427233333333334</v>
      </c>
      <c r="R2" s="55">
        <f>'Crop Diversity'!E16</f>
        <v>0.63417863571220567</v>
      </c>
    </row>
    <row r="3" spans="1:18" x14ac:dyDescent="0.25">
      <c r="A3" t="s">
        <v>243</v>
      </c>
      <c r="B3" t="s">
        <v>137</v>
      </c>
      <c r="C3" t="s">
        <v>244</v>
      </c>
      <c r="D3" t="s">
        <v>241</v>
      </c>
      <c r="E3" t="s">
        <v>242</v>
      </c>
      <c r="F3" s="145">
        <f>GM!I15</f>
        <v>366.43475000000001</v>
      </c>
      <c r="G3" s="145">
        <f>GM!I28</f>
        <v>447.24725000000001</v>
      </c>
      <c r="H3" s="145">
        <f>F3-(0.15*J3)</f>
        <v>305.39206625000003</v>
      </c>
      <c r="I3" s="145">
        <f>F3-(0.05*J3)</f>
        <v>346.08718875</v>
      </c>
      <c r="J3" s="145">
        <f>M3*5.62</f>
        <v>406.95122499999997</v>
      </c>
      <c r="K3" s="145">
        <f>'NO3'!K12</f>
        <v>33.548547826113051</v>
      </c>
      <c r="L3" s="145">
        <f>'N fertilizer'!I23</f>
        <v>102.45474999999999</v>
      </c>
      <c r="M3" s="145">
        <v>72.411249999999995</v>
      </c>
      <c r="N3" s="147">
        <f>'N2O calculations'!H31/4</f>
        <v>4.4561219286370974</v>
      </c>
      <c r="O3" s="122">
        <f>'Data for yield stability'!H24</f>
        <v>0.12367752449055018</v>
      </c>
      <c r="P3" s="145">
        <f>'Protein &amp; Energy Output'!H16</f>
        <v>551.22349999999994</v>
      </c>
      <c r="Q3" s="145">
        <f>'Protein &amp; Energy Output'!G21</f>
        <v>80.948824999999999</v>
      </c>
      <c r="R3" s="55">
        <f>'Crop Diversity'!E22</f>
        <v>1.0397207708399179</v>
      </c>
    </row>
    <row r="4" spans="1:18" x14ac:dyDescent="0.25">
      <c r="A4" t="s">
        <v>245</v>
      </c>
      <c r="B4" t="s">
        <v>244</v>
      </c>
      <c r="C4" t="s">
        <v>242</v>
      </c>
      <c r="D4" t="s">
        <v>137</v>
      </c>
      <c r="E4" t="s">
        <v>241</v>
      </c>
      <c r="F4" s="145">
        <f>GM!P15</f>
        <v>394.17967499999997</v>
      </c>
      <c r="G4" s="145">
        <f>GM!P28</f>
        <v>474.99217499999997</v>
      </c>
      <c r="H4" s="145">
        <f>F4-(0.15*J4)</f>
        <v>308.10220949999996</v>
      </c>
      <c r="I4" s="145">
        <f>F4-(0.05*J4)</f>
        <v>365.48718650000001</v>
      </c>
      <c r="J4" s="145">
        <f>M4*5.62</f>
        <v>573.84976999999992</v>
      </c>
      <c r="K4" s="145">
        <f>'NO3'!K18</f>
        <v>35.615654518476624</v>
      </c>
      <c r="L4" s="145">
        <f>'N fertilizer'!P23</f>
        <v>102.10849999999999</v>
      </c>
      <c r="M4" s="145">
        <v>102.10849999999999</v>
      </c>
      <c r="N4" s="147">
        <f>'N2O calculations'!O31/4</f>
        <v>4.4564701314622388</v>
      </c>
      <c r="O4" s="122">
        <f>'Data for yield stability'!H25</f>
        <v>0.12367752449055018</v>
      </c>
      <c r="P4" s="145">
        <f>'Protein &amp; Energy Output'!M16</f>
        <v>533.20950000000005</v>
      </c>
      <c r="Q4" s="145">
        <f>'Protein &amp; Energy Output'!L21</f>
        <v>78.525374999999997</v>
      </c>
      <c r="R4" s="55">
        <f>'Crop Diversity'!E28</f>
        <v>1.0397207708399179</v>
      </c>
    </row>
    <row r="5" spans="1:18" x14ac:dyDescent="0.25">
      <c r="N5" s="147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L22" sqref="L22"/>
    </sheetView>
  </sheetViews>
  <sheetFormatPr baseColWidth="10" defaultColWidth="11.42578125" defaultRowHeight="15" x14ac:dyDescent="0.25"/>
  <cols>
    <col min="1" max="1" width="29.7109375" bestFit="1" customWidth="1"/>
    <col min="17" max="17" width="18.42578125" customWidth="1"/>
    <col min="18" max="18" width="20.42578125" customWidth="1"/>
    <col min="19" max="19" width="22" bestFit="1" customWidth="1"/>
    <col min="21" max="21" width="16" customWidth="1"/>
  </cols>
  <sheetData>
    <row r="1" spans="1:22" x14ac:dyDescent="0.25">
      <c r="B1" t="s">
        <v>236</v>
      </c>
      <c r="C1" t="s">
        <v>237</v>
      </c>
      <c r="D1" t="s">
        <v>238</v>
      </c>
      <c r="E1" t="s">
        <v>239</v>
      </c>
      <c r="Q1" s="69" t="s">
        <v>281</v>
      </c>
      <c r="R1" s="69" t="s">
        <v>368</v>
      </c>
      <c r="S1" s="69" t="s">
        <v>369</v>
      </c>
      <c r="T1" s="69"/>
      <c r="U1" s="69" t="s">
        <v>281</v>
      </c>
      <c r="V1" s="68" t="s">
        <v>282</v>
      </c>
    </row>
    <row r="2" spans="1:22" x14ac:dyDescent="0.25">
      <c r="A2" t="s">
        <v>240</v>
      </c>
      <c r="B2" t="s">
        <v>244</v>
      </c>
      <c r="C2" t="s">
        <v>241</v>
      </c>
      <c r="D2" t="s">
        <v>242</v>
      </c>
      <c r="Q2" s="124" t="s">
        <v>370</v>
      </c>
      <c r="R2" s="148">
        <v>0.10299999999999999</v>
      </c>
      <c r="S2" s="137">
        <v>18</v>
      </c>
      <c r="T2" s="137"/>
      <c r="U2" s="70" t="s">
        <v>283</v>
      </c>
      <c r="V2" s="21">
        <v>0.85</v>
      </c>
    </row>
    <row r="3" spans="1:22" x14ac:dyDescent="0.25">
      <c r="A3" t="s">
        <v>243</v>
      </c>
      <c r="B3" t="s">
        <v>137</v>
      </c>
      <c r="C3" t="s">
        <v>244</v>
      </c>
      <c r="D3" t="s">
        <v>241</v>
      </c>
      <c r="E3" t="s">
        <v>242</v>
      </c>
      <c r="Q3" s="125" t="s">
        <v>371</v>
      </c>
      <c r="R3" s="148">
        <v>0.11700000000000001</v>
      </c>
      <c r="S3">
        <v>18.100000000000001</v>
      </c>
      <c r="U3" t="s">
        <v>284</v>
      </c>
      <c r="V3">
        <v>0.88</v>
      </c>
    </row>
    <row r="4" spans="1:22" x14ac:dyDescent="0.25">
      <c r="A4" t="s">
        <v>245</v>
      </c>
      <c r="B4" t="s">
        <v>244</v>
      </c>
      <c r="C4" t="s">
        <v>242</v>
      </c>
      <c r="D4" t="s">
        <v>137</v>
      </c>
      <c r="E4" t="s">
        <v>241</v>
      </c>
      <c r="Q4" s="126" t="s">
        <v>47</v>
      </c>
      <c r="R4" s="148">
        <v>0.126</v>
      </c>
      <c r="S4">
        <v>18.2</v>
      </c>
      <c r="U4" t="s">
        <v>285</v>
      </c>
      <c r="V4">
        <v>0.89</v>
      </c>
    </row>
    <row r="5" spans="1:22" x14ac:dyDescent="0.25">
      <c r="Q5" s="126" t="s">
        <v>287</v>
      </c>
      <c r="R5" s="148">
        <v>0.11799999999999999</v>
      </c>
      <c r="S5" s="137">
        <v>18.399999999999999</v>
      </c>
      <c r="U5" t="s">
        <v>286</v>
      </c>
      <c r="V5">
        <v>0.89</v>
      </c>
    </row>
    <row r="6" spans="1:22" x14ac:dyDescent="0.25">
      <c r="Q6" s="124" t="s">
        <v>319</v>
      </c>
      <c r="R6" s="148">
        <v>0.28999999999999998</v>
      </c>
      <c r="S6" s="137">
        <v>18.7</v>
      </c>
      <c r="T6" s="137"/>
      <c r="U6" t="s">
        <v>287</v>
      </c>
      <c r="V6">
        <v>0.89</v>
      </c>
    </row>
    <row r="7" spans="1:22" x14ac:dyDescent="0.25">
      <c r="Q7" t="s">
        <v>372</v>
      </c>
      <c r="R7" s="148">
        <v>0.20899999999999999</v>
      </c>
      <c r="S7">
        <v>28.8</v>
      </c>
      <c r="U7" t="s">
        <v>288</v>
      </c>
      <c r="V7">
        <v>0.89</v>
      </c>
    </row>
    <row r="8" spans="1:22" x14ac:dyDescent="0.25">
      <c r="Q8" t="s">
        <v>373</v>
      </c>
      <c r="R8" s="148">
        <v>0.33700000000000002</v>
      </c>
      <c r="S8" s="137">
        <v>20.3</v>
      </c>
      <c r="T8" s="137"/>
      <c r="U8" t="s">
        <v>241</v>
      </c>
      <c r="V8">
        <v>0.87</v>
      </c>
    </row>
    <row r="9" spans="1:22" x14ac:dyDescent="0.25">
      <c r="B9" t="s">
        <v>244</v>
      </c>
      <c r="C9" t="s">
        <v>241</v>
      </c>
      <c r="D9" t="s">
        <v>242</v>
      </c>
      <c r="G9" t="s">
        <v>137</v>
      </c>
      <c r="H9" t="s">
        <v>244</v>
      </c>
      <c r="I9" t="s">
        <v>241</v>
      </c>
      <c r="J9" t="s">
        <v>242</v>
      </c>
      <c r="L9" t="s">
        <v>244</v>
      </c>
      <c r="M9" t="s">
        <v>242</v>
      </c>
      <c r="N9" t="s">
        <v>137</v>
      </c>
      <c r="O9" t="s">
        <v>241</v>
      </c>
      <c r="Q9" t="s">
        <v>374</v>
      </c>
      <c r="R9" s="148">
        <v>0.23899999999999999</v>
      </c>
      <c r="S9" s="137">
        <v>18.3</v>
      </c>
      <c r="U9" t="s">
        <v>289</v>
      </c>
      <c r="V9">
        <v>0.88</v>
      </c>
    </row>
    <row r="10" spans="1:22" x14ac:dyDescent="0.25">
      <c r="A10" t="s">
        <v>393</v>
      </c>
      <c r="B10">
        <v>5.4</v>
      </c>
      <c r="C10">
        <v>6.5</v>
      </c>
      <c r="D10">
        <v>3.2</v>
      </c>
      <c r="G10">
        <v>2.5</v>
      </c>
      <c r="H10">
        <v>6.1</v>
      </c>
      <c r="I10">
        <v>6.5</v>
      </c>
      <c r="J10">
        <v>3.2</v>
      </c>
      <c r="L10">
        <v>5.0999999999999996</v>
      </c>
      <c r="M10">
        <v>3.6</v>
      </c>
      <c r="N10">
        <v>2.5</v>
      </c>
      <c r="O10">
        <v>6.3</v>
      </c>
      <c r="Q10" t="s">
        <v>375</v>
      </c>
      <c r="R10" s="148">
        <v>0.11</v>
      </c>
      <c r="S10" s="137">
        <v>19.5</v>
      </c>
      <c r="T10" s="137"/>
      <c r="U10" t="s">
        <v>290</v>
      </c>
      <c r="V10">
        <v>0.89</v>
      </c>
    </row>
    <row r="11" spans="1:22" x14ac:dyDescent="0.25">
      <c r="A11" t="s">
        <v>394</v>
      </c>
      <c r="B11" s="122">
        <v>0.89</v>
      </c>
      <c r="C11" s="122">
        <v>0.87</v>
      </c>
      <c r="D11" s="122">
        <v>0.85</v>
      </c>
      <c r="E11" s="122"/>
      <c r="F11" s="122"/>
      <c r="G11" s="122">
        <v>0.9</v>
      </c>
      <c r="H11" s="122">
        <v>0.89</v>
      </c>
      <c r="I11" s="122">
        <v>0.87</v>
      </c>
      <c r="J11" s="122">
        <v>0.85</v>
      </c>
      <c r="K11" s="122"/>
      <c r="L11" s="122">
        <v>0.89</v>
      </c>
      <c r="M11" s="122">
        <v>0.85</v>
      </c>
      <c r="N11" s="122">
        <v>0.9</v>
      </c>
      <c r="O11" s="122">
        <v>0.87</v>
      </c>
      <c r="Q11" s="124" t="s">
        <v>376</v>
      </c>
      <c r="R11" s="148">
        <v>0.08</v>
      </c>
      <c r="S11" s="147">
        <v>18.899999999999999</v>
      </c>
      <c r="T11" s="137"/>
      <c r="U11" t="s">
        <v>291</v>
      </c>
      <c r="V11" s="55">
        <v>0.9</v>
      </c>
    </row>
    <row r="12" spans="1:22" x14ac:dyDescent="0.25">
      <c r="A12" t="s">
        <v>395</v>
      </c>
      <c r="B12">
        <f>B10*B11</f>
        <v>4.806</v>
      </c>
      <c r="C12">
        <f>C10*C11</f>
        <v>5.6550000000000002</v>
      </c>
      <c r="D12">
        <f>D10*D11</f>
        <v>2.72</v>
      </c>
      <c r="G12">
        <f>G10*G11</f>
        <v>2.25</v>
      </c>
      <c r="H12">
        <f t="shared" ref="H12:I12" si="0">H10*H11</f>
        <v>5.4289999999999994</v>
      </c>
      <c r="I12">
        <f t="shared" si="0"/>
        <v>5.6550000000000002</v>
      </c>
      <c r="J12">
        <f>J10*J11</f>
        <v>2.72</v>
      </c>
      <c r="L12">
        <f>L10*L11</f>
        <v>4.5389999999999997</v>
      </c>
      <c r="M12">
        <f t="shared" ref="M12:N12" si="1">M10*M11</f>
        <v>3.06</v>
      </c>
      <c r="N12">
        <f t="shared" si="1"/>
        <v>2.25</v>
      </c>
      <c r="O12">
        <f>O10*O11</f>
        <v>5.4809999999999999</v>
      </c>
      <c r="Q12" s="124" t="s">
        <v>377</v>
      </c>
      <c r="R12" s="148">
        <v>0.191</v>
      </c>
      <c r="S12">
        <v>18.2</v>
      </c>
      <c r="U12" t="s">
        <v>292</v>
      </c>
      <c r="V12">
        <v>0.89</v>
      </c>
    </row>
    <row r="13" spans="1:22" x14ac:dyDescent="0.25">
      <c r="A13" t="s">
        <v>368</v>
      </c>
      <c r="B13" s="18">
        <v>0.126</v>
      </c>
      <c r="C13" s="18">
        <v>9.4E-2</v>
      </c>
      <c r="D13" s="18">
        <v>0.16600000000000001</v>
      </c>
      <c r="E13" s="18"/>
      <c r="G13" s="18">
        <v>0.23899999999999999</v>
      </c>
      <c r="H13" s="18">
        <v>0.126</v>
      </c>
      <c r="I13" s="18">
        <v>9.4E-2</v>
      </c>
      <c r="J13" s="18">
        <v>0.16600000000000001</v>
      </c>
      <c r="L13" s="18">
        <v>0.126</v>
      </c>
      <c r="M13" s="18">
        <v>0.16600000000000001</v>
      </c>
      <c r="N13" s="18">
        <v>0.23899999999999999</v>
      </c>
      <c r="O13" s="18">
        <v>9.4E-2</v>
      </c>
      <c r="Q13" s="128" t="s">
        <v>378</v>
      </c>
      <c r="R13" s="148">
        <v>0.39600000000000002</v>
      </c>
      <c r="S13" s="137">
        <v>23.6</v>
      </c>
      <c r="U13" t="s">
        <v>293</v>
      </c>
      <c r="V13">
        <v>0.91</v>
      </c>
    </row>
    <row r="14" spans="1:22" x14ac:dyDescent="0.25">
      <c r="A14" t="s">
        <v>396</v>
      </c>
      <c r="B14">
        <f t="shared" ref="B14:D14" si="2">B12*B13</f>
        <v>0.60555599999999998</v>
      </c>
      <c r="C14">
        <f t="shared" si="2"/>
        <v>0.53156999999999999</v>
      </c>
      <c r="D14">
        <f t="shared" si="2"/>
        <v>0.45152000000000003</v>
      </c>
      <c r="G14">
        <f t="shared" ref="G14:J14" si="3">G12*G13</f>
        <v>0.53774999999999995</v>
      </c>
      <c r="H14">
        <f t="shared" si="3"/>
        <v>0.68405399999999994</v>
      </c>
      <c r="I14">
        <f t="shared" si="3"/>
        <v>0.53156999999999999</v>
      </c>
      <c r="J14">
        <f t="shared" si="3"/>
        <v>0.45152000000000003</v>
      </c>
      <c r="L14">
        <f t="shared" ref="L14:O14" si="4">L12*L13</f>
        <v>0.57191399999999992</v>
      </c>
      <c r="M14">
        <f t="shared" si="4"/>
        <v>0.50796000000000008</v>
      </c>
      <c r="N14">
        <f t="shared" si="4"/>
        <v>0.53774999999999995</v>
      </c>
      <c r="O14">
        <f t="shared" si="4"/>
        <v>0.51521399999999995</v>
      </c>
      <c r="Q14" t="s">
        <v>379</v>
      </c>
      <c r="R14" s="148">
        <v>9.4E-2</v>
      </c>
      <c r="S14">
        <v>18.7</v>
      </c>
      <c r="T14" s="137"/>
      <c r="U14" t="s">
        <v>294</v>
      </c>
      <c r="V14">
        <v>0.91</v>
      </c>
    </row>
    <row r="15" spans="1:22" x14ac:dyDescent="0.25">
      <c r="Q15" s="128" t="s">
        <v>242</v>
      </c>
      <c r="R15" s="148">
        <v>0.16600000000000001</v>
      </c>
      <c r="S15">
        <v>28.7</v>
      </c>
      <c r="U15" t="s">
        <v>295</v>
      </c>
      <c r="V15">
        <v>0.22</v>
      </c>
    </row>
    <row r="16" spans="1:22" x14ac:dyDescent="0.25">
      <c r="A16" t="s">
        <v>397</v>
      </c>
      <c r="C16" s="145">
        <f>((B14+C14+D14)/3)*1000</f>
        <v>529.54866666666658</v>
      </c>
      <c r="D16" s="145"/>
      <c r="E16" s="145"/>
      <c r="F16" s="145"/>
      <c r="G16" s="145"/>
      <c r="H16" s="145">
        <f>((G14+H14+I14+J14)/4)*1000</f>
        <v>551.22349999999994</v>
      </c>
      <c r="I16" s="145"/>
      <c r="J16" s="145"/>
      <c r="K16" s="145"/>
      <c r="L16" s="145"/>
      <c r="M16" s="145">
        <f>((L14+M14+N14+O14)/4)*1000</f>
        <v>533.20950000000005</v>
      </c>
      <c r="Q16" s="127" t="s">
        <v>380</v>
      </c>
      <c r="R16" s="148">
        <v>0.248</v>
      </c>
      <c r="S16">
        <v>18.600000000000001</v>
      </c>
      <c r="U16" t="s">
        <v>296</v>
      </c>
      <c r="V16">
        <v>0.94</v>
      </c>
    </row>
    <row r="17" spans="1:22" x14ac:dyDescent="0.25">
      <c r="Q17" t="s">
        <v>381</v>
      </c>
      <c r="R17" s="148">
        <v>0.17699999999999999</v>
      </c>
      <c r="S17">
        <v>18.5</v>
      </c>
      <c r="T17" s="137"/>
      <c r="U17" t="s">
        <v>297</v>
      </c>
      <c r="V17">
        <v>0.9</v>
      </c>
    </row>
    <row r="18" spans="1:22" x14ac:dyDescent="0.25">
      <c r="A18" t="s">
        <v>369</v>
      </c>
      <c r="B18">
        <v>18.2</v>
      </c>
      <c r="C18">
        <v>18.7</v>
      </c>
      <c r="D18" s="137">
        <v>28.7</v>
      </c>
      <c r="G18" s="137">
        <v>18.3</v>
      </c>
      <c r="H18">
        <v>18.2</v>
      </c>
      <c r="I18">
        <v>18.7</v>
      </c>
      <c r="J18" s="137">
        <v>28.7</v>
      </c>
      <c r="L18">
        <v>18.2</v>
      </c>
      <c r="M18" s="137">
        <v>28.7</v>
      </c>
      <c r="N18" s="137">
        <v>18.3</v>
      </c>
      <c r="O18">
        <v>18.7</v>
      </c>
      <c r="Q18" t="s">
        <v>382</v>
      </c>
      <c r="R18" s="148">
        <v>7.8E-2</v>
      </c>
      <c r="S18">
        <v>16.899999999999999</v>
      </c>
      <c r="U18" t="s">
        <v>298</v>
      </c>
      <c r="V18">
        <v>0.9</v>
      </c>
    </row>
    <row r="19" spans="1:22" x14ac:dyDescent="0.25">
      <c r="A19" t="s">
        <v>367</v>
      </c>
      <c r="B19" s="55">
        <f>B18*B12</f>
        <v>87.469200000000001</v>
      </c>
      <c r="C19" s="55">
        <f t="shared" ref="C19:O19" si="5">C18*C12</f>
        <v>105.74850000000001</v>
      </c>
      <c r="D19" s="55">
        <f t="shared" si="5"/>
        <v>78.064000000000007</v>
      </c>
      <c r="E19" s="55"/>
      <c r="F19" s="55"/>
      <c r="G19" s="55">
        <f t="shared" si="5"/>
        <v>41.175000000000004</v>
      </c>
      <c r="H19" s="55">
        <f t="shared" si="5"/>
        <v>98.807799999999986</v>
      </c>
      <c r="I19" s="55">
        <f t="shared" si="5"/>
        <v>105.74850000000001</v>
      </c>
      <c r="J19" s="55">
        <f t="shared" si="5"/>
        <v>78.064000000000007</v>
      </c>
      <c r="K19" s="55"/>
      <c r="L19" s="55">
        <f t="shared" si="5"/>
        <v>82.609799999999993</v>
      </c>
      <c r="M19" s="55">
        <f t="shared" si="5"/>
        <v>87.822000000000003</v>
      </c>
      <c r="N19" s="55">
        <f t="shared" si="5"/>
        <v>41.175000000000004</v>
      </c>
      <c r="O19" s="55">
        <f t="shared" si="5"/>
        <v>102.49469999999999</v>
      </c>
      <c r="Q19" t="s">
        <v>383</v>
      </c>
      <c r="R19" s="148">
        <v>0.189</v>
      </c>
      <c r="S19">
        <v>18.899999999999999</v>
      </c>
      <c r="U19" t="s">
        <v>299</v>
      </c>
      <c r="V19">
        <v>0.9</v>
      </c>
    </row>
    <row r="20" spans="1:22" x14ac:dyDescent="0.2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Q20" t="s">
        <v>384</v>
      </c>
      <c r="R20" s="148">
        <v>0.16200000000000001</v>
      </c>
      <c r="S20">
        <v>18.7</v>
      </c>
      <c r="U20" t="s">
        <v>300</v>
      </c>
      <c r="V20">
        <v>0.9</v>
      </c>
    </row>
    <row r="21" spans="1:22" x14ac:dyDescent="0.25">
      <c r="A21" t="s">
        <v>398</v>
      </c>
      <c r="B21" s="55">
        <f>AVERAGE(B19:D19)</f>
        <v>90.427233333333334</v>
      </c>
      <c r="C21" s="55"/>
      <c r="D21" s="55"/>
      <c r="E21" s="55"/>
      <c r="F21" s="55"/>
      <c r="G21" s="55">
        <f>AVERAGE(G19:J19)</f>
        <v>80.948824999999999</v>
      </c>
      <c r="H21" s="55"/>
      <c r="I21" s="55"/>
      <c r="J21" s="55"/>
      <c r="K21" s="55"/>
      <c r="L21" s="55">
        <f>AVERAGE(L19:O19)</f>
        <v>78.525374999999997</v>
      </c>
      <c r="M21" s="55"/>
      <c r="N21" s="55"/>
      <c r="O21" s="55"/>
      <c r="Q21" t="s">
        <v>385</v>
      </c>
      <c r="R21" s="148">
        <v>0.10199999999999999</v>
      </c>
      <c r="S21">
        <v>17.7</v>
      </c>
      <c r="U21" t="s">
        <v>301</v>
      </c>
      <c r="V21">
        <v>0.9</v>
      </c>
    </row>
    <row r="22" spans="1:22" x14ac:dyDescent="0.2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Q22" t="s">
        <v>386</v>
      </c>
      <c r="R22" s="148">
        <v>0.14699999999999999</v>
      </c>
      <c r="S22" s="147">
        <v>18.18</v>
      </c>
      <c r="U22" t="s">
        <v>302</v>
      </c>
      <c r="V22">
        <v>0.9</v>
      </c>
    </row>
    <row r="23" spans="1:22" x14ac:dyDescent="0.25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Q23" t="s">
        <v>387</v>
      </c>
      <c r="R23" s="148">
        <v>0.11</v>
      </c>
      <c r="S23">
        <v>17.899999999999999</v>
      </c>
    </row>
    <row r="24" spans="1:22" x14ac:dyDescent="0.25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Q24" s="125" t="s">
        <v>388</v>
      </c>
      <c r="R24" s="148">
        <v>0.17280000000000001</v>
      </c>
      <c r="S24" s="149">
        <v>18.78</v>
      </c>
      <c r="U24" t="s">
        <v>389</v>
      </c>
    </row>
    <row r="25" spans="1:22" x14ac:dyDescent="0.25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22" x14ac:dyDescent="0.25">
      <c r="Q26" s="137" t="s">
        <v>390</v>
      </c>
      <c r="R26" t="s">
        <v>391</v>
      </c>
    </row>
    <row r="27" spans="1:22" x14ac:dyDescent="0.25">
      <c r="R27" t="s">
        <v>392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3" sqref="A3:A4"/>
    </sheetView>
  </sheetViews>
  <sheetFormatPr baseColWidth="10" defaultColWidth="11.42578125" defaultRowHeight="15" x14ac:dyDescent="0.25"/>
  <sheetData>
    <row r="1" spans="1:6" x14ac:dyDescent="0.25">
      <c r="C1" t="s">
        <v>236</v>
      </c>
      <c r="D1" t="s">
        <v>237</v>
      </c>
      <c r="E1" t="s">
        <v>238</v>
      </c>
      <c r="F1" t="s">
        <v>239</v>
      </c>
    </row>
    <row r="2" spans="1:6" x14ac:dyDescent="0.25">
      <c r="A2" t="s">
        <v>240</v>
      </c>
      <c r="C2" t="s">
        <v>244</v>
      </c>
      <c r="D2" t="s">
        <v>241</v>
      </c>
      <c r="E2" t="s">
        <v>242</v>
      </c>
    </row>
    <row r="3" spans="1:6" x14ac:dyDescent="0.25">
      <c r="A3" t="s">
        <v>243</v>
      </c>
      <c r="C3" t="s">
        <v>137</v>
      </c>
      <c r="D3" t="s">
        <v>244</v>
      </c>
      <c r="E3" t="s">
        <v>241</v>
      </c>
      <c r="F3" t="s">
        <v>242</v>
      </c>
    </row>
    <row r="4" spans="1:6" x14ac:dyDescent="0.25">
      <c r="A4" t="s">
        <v>245</v>
      </c>
      <c r="C4" t="s">
        <v>244</v>
      </c>
      <c r="D4" t="s">
        <v>242</v>
      </c>
      <c r="E4" t="s">
        <v>137</v>
      </c>
      <c r="F4" t="s">
        <v>241</v>
      </c>
    </row>
    <row r="7" spans="1:6" ht="18" x14ac:dyDescent="0.35">
      <c r="A7" t="s">
        <v>253</v>
      </c>
      <c r="C7" t="s">
        <v>254</v>
      </c>
      <c r="E7" t="s">
        <v>255</v>
      </c>
      <c r="F7">
        <f>LN(3)</f>
        <v>1.0986122886681098</v>
      </c>
    </row>
    <row r="11" spans="1:6" ht="18" x14ac:dyDescent="0.35">
      <c r="A11" t="s">
        <v>256</v>
      </c>
      <c r="B11" t="s">
        <v>257</v>
      </c>
      <c r="C11" t="s">
        <v>258</v>
      </c>
      <c r="D11" t="s">
        <v>259</v>
      </c>
      <c r="E11" t="s">
        <v>260</v>
      </c>
    </row>
    <row r="12" spans="1:6" x14ac:dyDescent="0.25">
      <c r="A12" t="s">
        <v>261</v>
      </c>
    </row>
    <row r="13" spans="1:6" x14ac:dyDescent="0.25">
      <c r="A13" t="s">
        <v>262</v>
      </c>
      <c r="B13" s="122">
        <f>2/3</f>
        <v>0.66666666666666663</v>
      </c>
      <c r="C13">
        <v>0.67</v>
      </c>
      <c r="D13">
        <f>LN(C13)</f>
        <v>-0.40047756659712525</v>
      </c>
      <c r="E13">
        <f>C13*D13</f>
        <v>-0.26831996962007393</v>
      </c>
    </row>
    <row r="14" spans="1:6" x14ac:dyDescent="0.25">
      <c r="A14" t="s">
        <v>263</v>
      </c>
      <c r="B14" s="122">
        <f>1/3</f>
        <v>0.33333333333333331</v>
      </c>
      <c r="C14">
        <v>0.33</v>
      </c>
      <c r="D14">
        <f>LN(C14)</f>
        <v>-1.1086626245216111</v>
      </c>
      <c r="E14">
        <f>C14*D14</f>
        <v>-0.36585866609213169</v>
      </c>
    </row>
    <row r="15" spans="1:6" x14ac:dyDescent="0.25">
      <c r="A15" t="s">
        <v>264</v>
      </c>
    </row>
    <row r="16" spans="1:6" x14ac:dyDescent="0.25">
      <c r="E16">
        <f>-(E13+E14+E15)</f>
        <v>0.63417863571220567</v>
      </c>
    </row>
    <row r="18" spans="1:5" x14ac:dyDescent="0.25">
      <c r="A18" t="s">
        <v>265</v>
      </c>
    </row>
    <row r="19" spans="1:5" x14ac:dyDescent="0.25">
      <c r="A19" t="s">
        <v>262</v>
      </c>
      <c r="B19" s="122">
        <f>2/4</f>
        <v>0.5</v>
      </c>
      <c r="C19">
        <v>0.5</v>
      </c>
      <c r="D19">
        <f>LN(C19)</f>
        <v>-0.69314718055994529</v>
      </c>
      <c r="E19">
        <f>C19*D19</f>
        <v>-0.34657359027997264</v>
      </c>
    </row>
    <row r="20" spans="1:5" x14ac:dyDescent="0.25">
      <c r="A20" t="s">
        <v>263</v>
      </c>
      <c r="B20" s="122">
        <f>1/4</f>
        <v>0.25</v>
      </c>
      <c r="C20">
        <v>0.25</v>
      </c>
      <c r="D20">
        <f>LN(C20)</f>
        <v>-1.3862943611198906</v>
      </c>
      <c r="E20">
        <f>C20*D20</f>
        <v>-0.34657359027997264</v>
      </c>
    </row>
    <row r="21" spans="1:5" x14ac:dyDescent="0.25">
      <c r="A21" t="s">
        <v>264</v>
      </c>
      <c r="B21" s="122">
        <f>1/4</f>
        <v>0.25</v>
      </c>
      <c r="C21">
        <v>0.25</v>
      </c>
      <c r="D21">
        <f>LN(C21)</f>
        <v>-1.3862943611198906</v>
      </c>
      <c r="E21">
        <f>C21*D21</f>
        <v>-0.34657359027997264</v>
      </c>
    </row>
    <row r="22" spans="1:5" x14ac:dyDescent="0.25">
      <c r="E22">
        <f>-(E19+E20+E21)</f>
        <v>1.0397207708399179</v>
      </c>
    </row>
    <row r="24" spans="1:5" x14ac:dyDescent="0.25">
      <c r="A24" t="s">
        <v>266</v>
      </c>
    </row>
    <row r="25" spans="1:5" x14ac:dyDescent="0.25">
      <c r="A25" t="s">
        <v>262</v>
      </c>
      <c r="B25" s="122">
        <f>2/4</f>
        <v>0.5</v>
      </c>
      <c r="C25">
        <v>0.5</v>
      </c>
      <c r="D25">
        <f>LN(C25)</f>
        <v>-0.69314718055994529</v>
      </c>
      <c r="E25">
        <f>C25*D25</f>
        <v>-0.34657359027997264</v>
      </c>
    </row>
    <row r="26" spans="1:5" x14ac:dyDescent="0.25">
      <c r="A26" t="s">
        <v>263</v>
      </c>
      <c r="B26" s="122">
        <f>1/4</f>
        <v>0.25</v>
      </c>
      <c r="C26">
        <v>0.25</v>
      </c>
      <c r="D26">
        <f>LN(C26)</f>
        <v>-1.3862943611198906</v>
      </c>
      <c r="E26">
        <f>C26*D26</f>
        <v>-0.34657359027997264</v>
      </c>
    </row>
    <row r="27" spans="1:5" x14ac:dyDescent="0.25">
      <c r="A27" t="s">
        <v>264</v>
      </c>
      <c r="B27" s="122">
        <f>1/4</f>
        <v>0.25</v>
      </c>
      <c r="C27">
        <v>0.25</v>
      </c>
      <c r="D27">
        <f>LN(C27)</f>
        <v>-1.3862943611198906</v>
      </c>
      <c r="E27">
        <f>C27*D27</f>
        <v>-0.34657359027997264</v>
      </c>
    </row>
    <row r="28" spans="1:5" x14ac:dyDescent="0.25">
      <c r="E28">
        <f>-(E25+E26+E27)</f>
        <v>1.0397207708399179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K24" sqref="K24"/>
    </sheetView>
  </sheetViews>
  <sheetFormatPr baseColWidth="10" defaultColWidth="10.85546875" defaultRowHeight="15" x14ac:dyDescent="0.25"/>
  <cols>
    <col min="1" max="1" width="21.42578125" bestFit="1" customWidth="1"/>
    <col min="3" max="3" width="17.5703125" bestFit="1" customWidth="1"/>
    <col min="4" max="4" width="18.28515625" bestFit="1" customWidth="1"/>
    <col min="5" max="5" width="14.42578125" bestFit="1" customWidth="1"/>
    <col min="6" max="6" width="22.85546875" bestFit="1" customWidth="1"/>
    <col min="7" max="7" width="12.5703125" bestFit="1" customWidth="1"/>
    <col min="8" max="8" width="16.28515625" bestFit="1" customWidth="1"/>
    <col min="9" max="9" width="11.5703125" bestFit="1" customWidth="1"/>
    <col min="10" max="10" width="19" bestFit="1" customWidth="1"/>
    <col min="11" max="11" width="17.28515625" bestFit="1" customWidth="1"/>
  </cols>
  <sheetData>
    <row r="1" spans="1:11" x14ac:dyDescent="0.25">
      <c r="A1" s="69"/>
      <c r="B1" s="146" t="s">
        <v>358</v>
      </c>
      <c r="C1" s="146" t="s">
        <v>359</v>
      </c>
      <c r="D1" s="146" t="s">
        <v>360</v>
      </c>
      <c r="E1" s="146" t="s">
        <v>361</v>
      </c>
      <c r="F1" s="146" t="s">
        <v>362</v>
      </c>
      <c r="G1" s="146" t="s">
        <v>363</v>
      </c>
      <c r="H1" s="146" t="s">
        <v>364</v>
      </c>
      <c r="I1" s="146" t="s">
        <v>417</v>
      </c>
      <c r="J1" s="146" t="s">
        <v>366</v>
      </c>
      <c r="K1" s="146" t="s">
        <v>365</v>
      </c>
    </row>
    <row r="2" spans="1:11" x14ac:dyDescent="0.25">
      <c r="A2" s="69" t="s">
        <v>261</v>
      </c>
      <c r="B2" s="69"/>
      <c r="C2" s="69"/>
      <c r="D2" s="69"/>
      <c r="E2" s="69"/>
      <c r="F2" s="69"/>
      <c r="G2" s="69"/>
      <c r="H2" s="69"/>
      <c r="J2" s="69"/>
      <c r="K2" s="69"/>
    </row>
    <row r="3" spans="1:11" x14ac:dyDescent="0.25">
      <c r="A3" t="s">
        <v>244</v>
      </c>
      <c r="B3">
        <v>5.4</v>
      </c>
      <c r="C3" s="153">
        <v>144.13</v>
      </c>
      <c r="D3" s="145"/>
      <c r="E3" s="153">
        <v>147.2002</v>
      </c>
      <c r="F3" s="153">
        <v>80.732142857142904</v>
      </c>
      <c r="G3" s="153">
        <v>119.124</v>
      </c>
      <c r="H3" s="153">
        <v>105.738142857143</v>
      </c>
      <c r="I3" s="145">
        <v>0</v>
      </c>
      <c r="J3" s="152">
        <v>0.4</v>
      </c>
      <c r="K3" s="153">
        <v>42.295257142857203</v>
      </c>
    </row>
    <row r="4" spans="1:11" x14ac:dyDescent="0.25">
      <c r="A4" t="s">
        <v>241</v>
      </c>
      <c r="B4">
        <v>6.5</v>
      </c>
      <c r="C4" s="153">
        <v>164.71</v>
      </c>
      <c r="D4" s="145"/>
      <c r="E4" s="153">
        <v>167.18680000000001</v>
      </c>
      <c r="F4" s="153">
        <v>104.951785714286</v>
      </c>
      <c r="G4" s="153">
        <v>147.57599999999999</v>
      </c>
      <c r="H4" s="153">
        <v>122.085785714286</v>
      </c>
      <c r="I4" s="145">
        <v>0</v>
      </c>
      <c r="J4" s="152">
        <v>0.4</v>
      </c>
      <c r="K4" s="153">
        <v>48.834314285714299</v>
      </c>
    </row>
    <row r="5" spans="1:11" x14ac:dyDescent="0.25">
      <c r="A5" t="s">
        <v>242</v>
      </c>
      <c r="B5">
        <v>3.2</v>
      </c>
      <c r="C5" s="153">
        <v>120.17400000000001</v>
      </c>
      <c r="D5" s="145"/>
      <c r="E5" s="153">
        <v>120.31959999999999</v>
      </c>
      <c r="F5" s="153">
        <v>113.02500000000001</v>
      </c>
      <c r="G5" s="153">
        <v>160.7424</v>
      </c>
      <c r="H5" s="153">
        <v>72.456599999999995</v>
      </c>
      <c r="I5" s="145">
        <v>0</v>
      </c>
      <c r="J5" s="152">
        <v>0.4</v>
      </c>
      <c r="K5" s="153">
        <v>28.98264</v>
      </c>
    </row>
    <row r="6" spans="1:11" x14ac:dyDescent="0.25">
      <c r="C6" s="145"/>
      <c r="D6" s="145"/>
      <c r="E6" s="145"/>
      <c r="F6" s="145"/>
      <c r="G6" s="145"/>
      <c r="H6" s="145"/>
      <c r="I6" s="145"/>
      <c r="K6" s="145">
        <f>AVERAGE(K3:K5)</f>
        <v>40.03740380952383</v>
      </c>
    </row>
    <row r="7" spans="1:11" x14ac:dyDescent="0.25">
      <c r="A7" s="69" t="s">
        <v>265</v>
      </c>
      <c r="C7" s="145"/>
      <c r="D7" s="145"/>
      <c r="E7" s="145"/>
      <c r="F7" s="145"/>
      <c r="G7" s="145"/>
      <c r="H7" s="145"/>
      <c r="I7" s="145"/>
      <c r="K7" s="145"/>
    </row>
    <row r="8" spans="1:11" x14ac:dyDescent="0.25">
      <c r="A8" t="s">
        <v>137</v>
      </c>
      <c r="B8">
        <v>2.5</v>
      </c>
      <c r="C8" s="153">
        <v>22</v>
      </c>
      <c r="D8" s="145"/>
      <c r="E8" s="153">
        <v>131.569370284304</v>
      </c>
      <c r="F8" s="153">
        <v>88.805357142857204</v>
      </c>
      <c r="G8" s="153">
        <v>43.188050310298202</v>
      </c>
      <c r="H8" s="153">
        <v>67.617306832558995</v>
      </c>
      <c r="I8" s="153">
        <v>102.362570284304</v>
      </c>
      <c r="J8" s="152">
        <v>0.4</v>
      </c>
      <c r="K8" s="153">
        <v>27.0469227330236</v>
      </c>
    </row>
    <row r="9" spans="1:11" x14ac:dyDescent="0.25">
      <c r="A9" t="s">
        <v>244</v>
      </c>
      <c r="B9">
        <v>6.1</v>
      </c>
      <c r="C9" s="153">
        <v>102.94</v>
      </c>
      <c r="D9" s="145"/>
      <c r="E9" s="153">
        <v>106.0102</v>
      </c>
      <c r="F9" s="153">
        <v>104.951785714286</v>
      </c>
      <c r="G9" s="153">
        <v>134.566</v>
      </c>
      <c r="H9" s="153">
        <v>73.325785714285701</v>
      </c>
      <c r="I9" s="145">
        <v>0</v>
      </c>
      <c r="J9" s="152">
        <v>0.4</v>
      </c>
      <c r="K9" s="153">
        <v>29.330314285714302</v>
      </c>
    </row>
    <row r="10" spans="1:11" x14ac:dyDescent="0.25">
      <c r="A10" t="s">
        <v>241</v>
      </c>
      <c r="B10">
        <v>6.5</v>
      </c>
      <c r="C10" s="153">
        <v>164.71</v>
      </c>
      <c r="D10" s="145"/>
      <c r="E10" s="153">
        <v>167.18680000000001</v>
      </c>
      <c r="F10" s="153">
        <v>104.951785714286</v>
      </c>
      <c r="G10" s="153">
        <v>147.57599999999999</v>
      </c>
      <c r="H10" s="153">
        <v>122.085785714286</v>
      </c>
      <c r="I10" s="145">
        <v>0</v>
      </c>
      <c r="J10" s="152">
        <v>0.4</v>
      </c>
      <c r="K10" s="153">
        <v>48.834314285714299</v>
      </c>
    </row>
    <row r="11" spans="1:11" x14ac:dyDescent="0.25">
      <c r="A11" t="s">
        <v>242</v>
      </c>
      <c r="B11">
        <v>3.2</v>
      </c>
      <c r="C11" s="153">
        <v>120.17400000000001</v>
      </c>
      <c r="D11" s="145"/>
      <c r="E11" s="153">
        <v>120.31959999999999</v>
      </c>
      <c r="F11" s="153">
        <v>113.02500000000001</v>
      </c>
      <c r="G11" s="153">
        <v>160.7424</v>
      </c>
      <c r="H11" s="153">
        <v>72.456599999999995</v>
      </c>
      <c r="I11" s="145">
        <v>0</v>
      </c>
      <c r="J11" s="152">
        <v>0.4</v>
      </c>
      <c r="K11" s="153">
        <v>28.98264</v>
      </c>
    </row>
    <row r="12" spans="1:11" x14ac:dyDescent="0.25">
      <c r="C12" s="145"/>
      <c r="D12" s="145"/>
      <c r="E12" s="145"/>
      <c r="F12" s="145"/>
      <c r="G12" s="145"/>
      <c r="H12" s="145"/>
      <c r="I12" s="145"/>
      <c r="K12" s="145">
        <f>AVERAGE(K8:K11)</f>
        <v>33.548547826113051</v>
      </c>
    </row>
    <row r="13" spans="1:11" x14ac:dyDescent="0.25">
      <c r="A13" s="69" t="s">
        <v>266</v>
      </c>
      <c r="C13" s="145"/>
      <c r="D13" s="145"/>
      <c r="E13" s="145"/>
      <c r="F13" s="145"/>
      <c r="G13" s="145"/>
      <c r="H13" s="145"/>
      <c r="I13" s="145"/>
      <c r="K13" s="145"/>
    </row>
    <row r="14" spans="1:11" x14ac:dyDescent="0.25">
      <c r="A14" t="s">
        <v>244</v>
      </c>
      <c r="B14">
        <v>5.0999999999999996</v>
      </c>
      <c r="C14" s="153">
        <v>144.13</v>
      </c>
      <c r="D14" s="145"/>
      <c r="E14" s="153">
        <v>147.2002</v>
      </c>
      <c r="F14" s="153">
        <v>80.732142857142904</v>
      </c>
      <c r="G14" s="153">
        <v>112.506</v>
      </c>
      <c r="H14" s="153">
        <v>112.356142857143</v>
      </c>
      <c r="I14" s="145">
        <v>0</v>
      </c>
      <c r="J14" s="152">
        <v>0.4</v>
      </c>
      <c r="K14" s="153">
        <v>44.942457142857201</v>
      </c>
    </row>
    <row r="15" spans="1:11" x14ac:dyDescent="0.25">
      <c r="A15" t="s">
        <v>242</v>
      </c>
      <c r="B15">
        <v>3.6</v>
      </c>
      <c r="C15" s="153">
        <v>120.17400000000001</v>
      </c>
      <c r="D15" s="145"/>
      <c r="E15" s="153">
        <v>120.31959999999999</v>
      </c>
      <c r="F15" s="153">
        <v>113.02500000000001</v>
      </c>
      <c r="G15" s="153">
        <v>180.83519999999999</v>
      </c>
      <c r="H15" s="153">
        <v>52.363799999999998</v>
      </c>
      <c r="I15" s="145">
        <v>0</v>
      </c>
      <c r="J15" s="152">
        <v>0.4</v>
      </c>
      <c r="K15" s="153">
        <v>20.945519999999998</v>
      </c>
    </row>
    <row r="16" spans="1:11" x14ac:dyDescent="0.25">
      <c r="A16" t="s">
        <v>137</v>
      </c>
      <c r="B16">
        <v>2.5</v>
      </c>
      <c r="C16" s="153">
        <v>0</v>
      </c>
      <c r="D16" s="145"/>
      <c r="E16" s="153">
        <v>119.63136921751</v>
      </c>
      <c r="F16" s="153">
        <v>88.805357142857204</v>
      </c>
      <c r="G16" s="153">
        <v>34.9008762438053</v>
      </c>
      <c r="H16" s="153">
        <v>53.904480899051798</v>
      </c>
      <c r="I16" s="153">
        <v>112.42456921751</v>
      </c>
      <c r="J16" s="152">
        <v>0.4</v>
      </c>
      <c r="K16" s="153">
        <v>21.5617923596207</v>
      </c>
    </row>
    <row r="17" spans="1:11" x14ac:dyDescent="0.25">
      <c r="A17" t="s">
        <v>241</v>
      </c>
      <c r="B17">
        <v>6.3</v>
      </c>
      <c r="C17" s="153">
        <v>144.13</v>
      </c>
      <c r="D17" s="145"/>
      <c r="E17" s="153">
        <v>146.60679999999999</v>
      </c>
      <c r="F17" s="153">
        <v>136.43732142857101</v>
      </c>
      <c r="G17" s="153">
        <v>143.0352</v>
      </c>
      <c r="H17" s="153">
        <v>137.532121428571</v>
      </c>
      <c r="I17" s="145">
        <v>0</v>
      </c>
      <c r="J17" s="152">
        <v>0.4</v>
      </c>
      <c r="K17" s="153">
        <v>55.012848571428599</v>
      </c>
    </row>
    <row r="18" spans="1:11" x14ac:dyDescent="0.25">
      <c r="C18" s="145"/>
      <c r="D18" s="145"/>
      <c r="E18" s="145"/>
      <c r="F18" s="145"/>
      <c r="G18" s="145"/>
      <c r="H18" s="145"/>
      <c r="I18" s="145"/>
      <c r="K18" s="145">
        <f>AVERAGE(K14:K17)</f>
        <v>35.615654518476624</v>
      </c>
    </row>
    <row r="19" spans="1:11" x14ac:dyDescent="0.25">
      <c r="K19" s="145"/>
    </row>
    <row r="21" spans="1:11" x14ac:dyDescent="0.25">
      <c r="A21" s="69" t="s">
        <v>418</v>
      </c>
    </row>
    <row r="23" spans="1:11" x14ac:dyDescent="0.25">
      <c r="A23" t="s">
        <v>423</v>
      </c>
    </row>
    <row r="25" spans="1:11" x14ac:dyDescent="0.25">
      <c r="A25" t="s">
        <v>424</v>
      </c>
      <c r="D25" s="1" t="s">
        <v>419</v>
      </c>
    </row>
    <row r="27" spans="1:11" x14ac:dyDescent="0.25">
      <c r="A27" t="s">
        <v>425</v>
      </c>
      <c r="D27" s="1" t="s">
        <v>420</v>
      </c>
    </row>
    <row r="29" spans="1:11" x14ac:dyDescent="0.25">
      <c r="A29" t="s">
        <v>426</v>
      </c>
    </row>
    <row r="30" spans="1:11" x14ac:dyDescent="0.25">
      <c r="A30" t="s">
        <v>427</v>
      </c>
      <c r="D30" s="1" t="s">
        <v>428</v>
      </c>
    </row>
    <row r="31" spans="1:11" x14ac:dyDescent="0.25">
      <c r="A31" s="154"/>
      <c r="B31" s="155"/>
      <c r="C31" s="155"/>
      <c r="D31" s="155"/>
      <c r="E31" s="155"/>
    </row>
    <row r="32" spans="1:11" x14ac:dyDescent="0.25">
      <c r="A32" t="s">
        <v>421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20" x14ac:dyDescent="0.25">
      <c r="A1">
        <f>'N fertilizer'!A1</f>
        <v>0</v>
      </c>
      <c r="B1" t="str">
        <f>'N fertilizer'!B1</f>
        <v>Crop 1</v>
      </c>
      <c r="C1" t="str">
        <f>'N fertilizer'!C1</f>
        <v>Crop 2</v>
      </c>
      <c r="D1" t="str">
        <f>'N fertilizer'!D1</f>
        <v>Crop 3</v>
      </c>
      <c r="E1" t="str">
        <f>'N fertilizer'!E1</f>
        <v>Crop 4</v>
      </c>
    </row>
    <row r="2" spans="1:20" x14ac:dyDescent="0.25">
      <c r="A2" t="str">
        <f>'N fertilizer'!A2</f>
        <v xml:space="preserve">Without legumes: </v>
      </c>
      <c r="B2" t="str">
        <f>'N fertilizer'!B2</f>
        <v>Winter wheat</v>
      </c>
      <c r="C2" t="str">
        <f>'N fertilizer'!C2</f>
        <v>Maize</v>
      </c>
      <c r="D2" t="str">
        <f>'N fertilizer'!D2</f>
        <v>Sunflower</v>
      </c>
      <c r="E2">
        <f>'N fertilizer'!E2</f>
        <v>0</v>
      </c>
    </row>
    <row r="3" spans="1:20" x14ac:dyDescent="0.25">
      <c r="A3" t="str">
        <f>'N fertilizer'!A3</f>
        <v xml:space="preserve">With legumes option 1: </v>
      </c>
      <c r="B3" t="str">
        <f>'N fertilizer'!B3</f>
        <v>Forage pea</v>
      </c>
      <c r="C3" t="str">
        <f>'N fertilizer'!C3</f>
        <v>Winter wheat</v>
      </c>
      <c r="D3" t="str">
        <f>'N fertilizer'!D3</f>
        <v>Maize</v>
      </c>
      <c r="E3" t="str">
        <f>'N fertilizer'!E3</f>
        <v>Sunflower</v>
      </c>
    </row>
    <row r="4" spans="1:20" x14ac:dyDescent="0.25">
      <c r="A4" t="str">
        <f>'N fertilizer'!A4</f>
        <v xml:space="preserve">With legumes option 2: </v>
      </c>
      <c r="B4" t="str">
        <f>'N fertilizer'!B4</f>
        <v>Winter wheat</v>
      </c>
      <c r="C4" t="str">
        <f>'N fertilizer'!C4</f>
        <v>Sunflower</v>
      </c>
      <c r="D4" t="str">
        <f>'N fertilizer'!D4</f>
        <v>Forage pea</v>
      </c>
      <c r="E4" t="str">
        <f>'N fertilizer'!E4</f>
        <v>Maize</v>
      </c>
    </row>
    <row r="6" spans="1:20" x14ac:dyDescent="0.25">
      <c r="A6" s="136" t="s">
        <v>303</v>
      </c>
      <c r="B6" t="s">
        <v>304</v>
      </c>
    </row>
    <row r="7" spans="1:20" x14ac:dyDescent="0.25">
      <c r="B7" s="47" t="str">
        <f>'N fertilizer'!B7</f>
        <v>Winter wheat</v>
      </c>
      <c r="C7" s="47" t="str">
        <f>'N fertilizer'!C7</f>
        <v>Maize</v>
      </c>
      <c r="D7" s="47" t="str">
        <f>'N fertilizer'!D7</f>
        <v>Sunflower</v>
      </c>
      <c r="E7" s="47"/>
      <c r="F7" s="47"/>
      <c r="G7" s="47"/>
      <c r="I7" s="47" t="str">
        <f>'N fertilizer'!I7</f>
        <v>Forage pea</v>
      </c>
      <c r="J7" s="47" t="str">
        <f>'N fertilizer'!J7</f>
        <v>Winter wheat</v>
      </c>
      <c r="K7" s="47" t="str">
        <f>'N fertilizer'!K7</f>
        <v>Maize</v>
      </c>
      <c r="L7" s="47" t="str">
        <f>'N fertilizer'!L7</f>
        <v>Sunflower</v>
      </c>
      <c r="M7" s="47"/>
      <c r="N7" s="47"/>
      <c r="P7" s="47" t="str">
        <f>'N fertilizer'!P7</f>
        <v>Winter wheat</v>
      </c>
      <c r="Q7" s="47" t="str">
        <f>'N fertilizer'!Q7</f>
        <v>Sunflower</v>
      </c>
      <c r="R7" s="47" t="str">
        <f>'N fertilizer'!R7</f>
        <v>Forage pea</v>
      </c>
      <c r="S7" s="47" t="str">
        <f>'N fertilizer'!S7</f>
        <v>Maize</v>
      </c>
      <c r="T7" s="47"/>
    </row>
    <row r="8" spans="1:20" x14ac:dyDescent="0.25">
      <c r="A8" s="47"/>
      <c r="B8" s="135">
        <f>VLOOKUP(B7,'Mapping crops'!$A:$B,2,FALSE)</f>
        <v>3</v>
      </c>
      <c r="C8" s="135">
        <f>VLOOKUP(C7,'Mapping crops'!$A:$B,2,FALSE)</f>
        <v>7</v>
      </c>
      <c r="D8" s="135">
        <f>VLOOKUP(D7,'Mapping crops'!$A:$B,2,FALSE)</f>
        <v>1</v>
      </c>
      <c r="E8" s="135"/>
      <c r="F8" s="135"/>
      <c r="G8" s="69"/>
      <c r="H8" s="135"/>
      <c r="I8" s="135">
        <f>VLOOKUP(I7,'Mapping crops'!$A:$B,2,FALSE)</f>
        <v>12</v>
      </c>
      <c r="J8" s="135">
        <f>VLOOKUP(J7,'Mapping crops'!$A:$B,2,FALSE)</f>
        <v>3</v>
      </c>
      <c r="K8" s="135">
        <f>VLOOKUP(K7,'Mapping crops'!$A:$B,2,FALSE)</f>
        <v>7</v>
      </c>
      <c r="L8" s="135">
        <f>VLOOKUP(L7,'Mapping crops'!$A:$B,2,FALSE)</f>
        <v>1</v>
      </c>
      <c r="M8" s="135"/>
      <c r="N8" s="135"/>
      <c r="O8" s="135"/>
      <c r="P8" s="135">
        <f>VLOOKUP(P7,'Mapping crops'!$A:$B,2,FALSE)</f>
        <v>3</v>
      </c>
      <c r="Q8" s="135">
        <f>VLOOKUP(Q7,'Mapping crops'!$A:$B,2,FALSE)</f>
        <v>1</v>
      </c>
      <c r="R8" s="135">
        <f>VLOOKUP(R7,'Mapping crops'!$A:$B,2,FALSE)</f>
        <v>12</v>
      </c>
      <c r="S8" s="135">
        <f>VLOOKUP(S7,'Mapping crops'!$A:$B,2,FALSE)</f>
        <v>7</v>
      </c>
      <c r="T8" s="135"/>
    </row>
    <row r="9" spans="1:20" x14ac:dyDescent="0.25">
      <c r="A9" s="137" t="s">
        <v>305</v>
      </c>
      <c r="B9">
        <f>IF(ISBLANK('N fertilizer'!B10),0,VLOOKUP('N fertilizer'!B10,'N2O default values'!$I:$J,2,FALSE)*'N fertilizer'!B13)</f>
        <v>7.2065000000000001</v>
      </c>
      <c r="C9">
        <f>IF(ISBLANK('N fertilizer'!C10),0,VLOOKUP('N fertilizer'!C10,'N2O default values'!$I:$J,2,FALSE)*'N fertilizer'!C13)</f>
        <v>8.2355</v>
      </c>
      <c r="D9">
        <f>IF(ISBLANK('N fertilizer'!D10),0,VLOOKUP('N fertilizer'!D10,'N2O default values'!$I:$J,2,FALSE)*'N fertilizer'!D13)</f>
        <v>18.002099999999999</v>
      </c>
      <c r="I9">
        <f>IF(ISBLANK('N fertilizer'!I10),0,VLOOKUP('N fertilizer'!I10,'N2O default values'!$I:$J,2,FALSE)*'N fertilizer'!I13)</f>
        <v>1.76</v>
      </c>
      <c r="J9">
        <f>IF(ISBLANK('N fertilizer'!J10),0,VLOOKUP('N fertilizer'!J10,'N2O default values'!$I:$J,2,FALSE)*'N fertilizer'!J13)</f>
        <v>5.1467500000000008</v>
      </c>
      <c r="K9">
        <f>IF(ISBLANK('N fertilizer'!K10),0,VLOOKUP('N fertilizer'!K10,'N2O default values'!$I:$J,2,FALSE)*'N fertilizer'!K13)</f>
        <v>8.2355</v>
      </c>
      <c r="L9">
        <f>IF(ISBLANK('N fertilizer'!L10),0,VLOOKUP('N fertilizer'!L10,'N2O default values'!$I:$J,2,FALSE)*'N fertilizer'!L13)</f>
        <v>18.002099999999999</v>
      </c>
      <c r="P9">
        <f>IF(ISBLANK('N fertilizer'!P10),0,VLOOKUP('N fertilizer'!P10,'N2O default values'!$I:$J,2,FALSE)*'N fertilizer'!P13)</f>
        <v>7.2065000000000001</v>
      </c>
      <c r="Q9">
        <f>IF(ISBLANK('N fertilizer'!Q10),0,VLOOKUP('N fertilizer'!Q10,'N2O default values'!$I:$J,2,FALSE)*'N fertilizer'!Q13)</f>
        <v>18.002099999999999</v>
      </c>
      <c r="R9">
        <f>IF(ISBLANK('N fertilizer'!R10),0,VLOOKUP('N fertilizer'!R10,'N2O default values'!$I:$J,2,FALSE)*'N fertilizer'!R13)</f>
        <v>0</v>
      </c>
      <c r="S9">
        <f>IF(ISBLANK('N fertilizer'!S10),0,VLOOKUP('N fertilizer'!S10,'N2O default values'!$I:$J,2,FALSE)*'N fertilizer'!S13)</f>
        <v>7.2065000000000001</v>
      </c>
    </row>
    <row r="10" spans="1:20" x14ac:dyDescent="0.25">
      <c r="A10" s="137" t="s">
        <v>305</v>
      </c>
      <c r="B10">
        <f>IF(ISBLANK('N fertilizer'!B15),0,VLOOKUP('N fertilizer'!B15,'N2O default values'!$I:$J,2,FALSE)*'N fertilizer'!B18)</f>
        <v>0</v>
      </c>
      <c r="C10">
        <f>IF(ISBLANK('N fertilizer'!C15),0,VLOOKUP('N fertilizer'!C15,'N2O default values'!$I:$J,2,FALSE)*'N fertilizer'!C18)</f>
        <v>0</v>
      </c>
      <c r="D10">
        <f>IF(ISBLANK('N fertilizer'!D15),0,VLOOKUP('N fertilizer'!D15,'N2O default values'!$I:$J,2,FALSE)*'N fertilizer'!D18)</f>
        <v>1.7600000000000001E-2</v>
      </c>
      <c r="I10">
        <f>IF(ISBLANK('N fertilizer'!I15),0,VLOOKUP('N fertilizer'!I15,'N2O default values'!$I:$J,2,FALSE)*'N fertilizer'!I18)</f>
        <v>0</v>
      </c>
      <c r="J10">
        <f>IF(ISBLANK('N fertilizer'!J15),0,VLOOKUP('N fertilizer'!J15,'N2O default values'!$I:$J,2,FALSE)*'N fertilizer'!J18)</f>
        <v>0</v>
      </c>
      <c r="K10">
        <f>IF(ISBLANK('N fertilizer'!K15),0,VLOOKUP('N fertilizer'!K15,'N2O default values'!$I:$J,2,FALSE)*'N fertilizer'!K18)</f>
        <v>0</v>
      </c>
      <c r="L10">
        <f>IF(ISBLANK('N fertilizer'!L15),0,VLOOKUP('N fertilizer'!L15,'N2O default values'!$I:$J,2,FALSE)*'N fertilizer'!L18)</f>
        <v>1.7600000000000001E-2</v>
      </c>
      <c r="P10">
        <f>IF(ISBLANK('N fertilizer'!P15),0,VLOOKUP('N fertilizer'!P15,'N2O default values'!$I:$J,2,FALSE)*'N fertilizer'!P18)</f>
        <v>0</v>
      </c>
      <c r="Q10">
        <f>IF(ISBLANK('N fertilizer'!Q15),0,VLOOKUP('N fertilizer'!Q15,'N2O default values'!$I:$J,2,FALSE)*'N fertilizer'!Q18)</f>
        <v>1.7600000000000001E-2</v>
      </c>
      <c r="R10">
        <f>IF(ISBLANK('N fertilizer'!R15),0,VLOOKUP('N fertilizer'!R15,'N2O default values'!$I:$J,2,FALSE)*'N fertilizer'!R18)</f>
        <v>0</v>
      </c>
      <c r="S10">
        <f>IF(ISBLANK('N fertilizer'!S15),0,VLOOKUP('N fertilizer'!S15,'N2O default values'!$I:$J,2,FALSE)*'N fertilizer'!S18)</f>
        <v>0</v>
      </c>
    </row>
    <row r="11" spans="1:20" x14ac:dyDescent="0.25">
      <c r="A11" s="137" t="s">
        <v>305</v>
      </c>
      <c r="B11">
        <f>IF(ISBLANK('N fertilizer'!B20),0,VLOOKUP('N fertilizer'!B20,'N2O default values'!$I:$J,2,FALSE)*'N fertilizer'!B23)</f>
        <v>0</v>
      </c>
      <c r="C11">
        <f>IF(ISBLANK('N fertilizer'!C20),0,VLOOKUP('N fertilizer'!C20,'N2O default values'!$I:$J,2,FALSE)*'N fertilizer'!C23)</f>
        <v>0</v>
      </c>
      <c r="D11">
        <f>IF(ISBLANK('N fertilizer'!D20),0,VLOOKUP('N fertilizer'!D20,'N2O default values'!$I:$J,2,FALSE)*'N fertilizer'!D23)</f>
        <v>0</v>
      </c>
      <c r="I11">
        <f>IF(ISBLANK('N fertilizer'!I20),0,VLOOKUP('N fertilizer'!I20,'N2O default values'!$I:$J,2,FALSE)*'N fertilizer'!I23)</f>
        <v>0</v>
      </c>
      <c r="J11">
        <f>IF(ISBLANK('N fertilizer'!J20),0,VLOOKUP('N fertilizer'!J20,'N2O default values'!$I:$J,2,FALSE)*'N fertilizer'!J23)</f>
        <v>0</v>
      </c>
      <c r="K11">
        <f>IF(ISBLANK('N fertilizer'!K20),0,VLOOKUP('N fertilizer'!K20,'N2O default values'!$I:$J,2,FALSE)*'N fertilizer'!K23)</f>
        <v>0</v>
      </c>
      <c r="L11">
        <f>IF(ISBLANK('N fertilizer'!L20),0,VLOOKUP('N fertilizer'!L20,'N2O default values'!$I:$J,2,FALSE)*'N fertilizer'!L23)</f>
        <v>0</v>
      </c>
      <c r="P11">
        <f>IF(ISBLANK('N fertilizer'!P20),0,VLOOKUP('N fertilizer'!P20,'N2O default values'!$I:$J,2,FALSE)*'N fertilizer'!P23)</f>
        <v>0</v>
      </c>
      <c r="Q11">
        <f>IF(ISBLANK('N fertilizer'!Q20),0,VLOOKUP('N fertilizer'!Q20,'N2O default values'!$I:$J,2,FALSE)*'N fertilizer'!Q23)</f>
        <v>0</v>
      </c>
      <c r="R11">
        <f>IF(ISBLANK('N fertilizer'!R20),0,VLOOKUP('N fertilizer'!R20,'N2O default values'!$I:$J,2,FALSE)*'N fertilizer'!R23)</f>
        <v>0</v>
      </c>
      <c r="S11">
        <f>IF(ISBLANK('N fertilizer'!S20),0,VLOOKUP('N fertilizer'!S20,'N2O default values'!$I:$J,2,FALSE)*'N fertilizer'!S23)</f>
        <v>0</v>
      </c>
    </row>
    <row r="12" spans="1:20" x14ac:dyDescent="0.25">
      <c r="A12" s="137" t="s">
        <v>306</v>
      </c>
      <c r="B12" s="153">
        <v>42.295257142857203</v>
      </c>
      <c r="C12" s="153">
        <v>48.834314285714299</v>
      </c>
      <c r="D12" s="153">
        <v>28.98264</v>
      </c>
      <c r="I12" s="153">
        <v>27.0469227330236</v>
      </c>
      <c r="J12" s="153">
        <v>29.330314285714302</v>
      </c>
      <c r="K12" s="153">
        <v>48.834314285714299</v>
      </c>
      <c r="L12" s="153">
        <v>28.98264</v>
      </c>
      <c r="P12" s="153">
        <v>44.942457142857201</v>
      </c>
      <c r="Q12" s="153">
        <v>20.945519999999998</v>
      </c>
      <c r="R12" s="153">
        <v>21.5617923596207</v>
      </c>
      <c r="S12" s="153">
        <v>55.012848571428599</v>
      </c>
    </row>
    <row r="13" spans="1:20" x14ac:dyDescent="0.25">
      <c r="A13" s="137" t="s">
        <v>307</v>
      </c>
    </row>
    <row r="14" spans="1:20" x14ac:dyDescent="0.25">
      <c r="A14" s="137" t="s">
        <v>252</v>
      </c>
      <c r="B14">
        <f>GM!B$8*VLOOKUP(B8,'N2O default values'!$M:$U,7)</f>
        <v>4.806</v>
      </c>
      <c r="C14">
        <f>GM!C$8*VLOOKUP(C8,'N2O default values'!$M:$U,7)</f>
        <v>5.6550000000000002</v>
      </c>
      <c r="D14">
        <f>GM!D$8*VLOOKUP(D8,'N2O default values'!$M:$U,7)</f>
        <v>2.72</v>
      </c>
      <c r="I14">
        <f>GM!I$8*VLOOKUP(I8,'N2O default values'!$M:$U,7)</f>
        <v>2.2749999999999999</v>
      </c>
      <c r="J14">
        <f>GM!J$8*VLOOKUP(J8,'N2O default values'!$M:$U,7)</f>
        <v>5.4289999999999994</v>
      </c>
      <c r="K14">
        <f>GM!K$8*VLOOKUP(K8,'N2O default values'!$M:$U,7)</f>
        <v>5.6550000000000002</v>
      </c>
      <c r="L14">
        <f>GM!L$8*VLOOKUP(L8,'N2O default values'!$M:$U,7)</f>
        <v>2.72</v>
      </c>
      <c r="P14">
        <f>GM!P$8*VLOOKUP(P8,'N2O default values'!$M:$U,7)</f>
        <v>4.5389999999999997</v>
      </c>
      <c r="Q14">
        <f>GM!Q$8*VLOOKUP(Q8,'N2O default values'!$M:$U,7)</f>
        <v>3.06</v>
      </c>
      <c r="R14">
        <f>GM!R$8*VLOOKUP(R8,'N2O default values'!$M:$U,7)</f>
        <v>2.2749999999999999</v>
      </c>
      <c r="S14">
        <f>GM!S$8*VLOOKUP(S8,'N2O default values'!$M:$U,7)</f>
        <v>5.4809999999999999</v>
      </c>
    </row>
    <row r="15" spans="1:20" x14ac:dyDescent="0.25">
      <c r="A15" s="137" t="s">
        <v>308</v>
      </c>
      <c r="B15">
        <f>B14*VLOOKUP(B$8,'N2O default values'!$M:$U,5)*VLOOKUP(B$8,'N2O default values'!$M:$U,8)</f>
        <v>6.2478000000000007</v>
      </c>
      <c r="C15">
        <f>C14*VLOOKUP(C$8,'N2O default values'!$M:$U,5)*VLOOKUP(C$8,'N2O default values'!$M:$U,8)</f>
        <v>5.6550000000000002</v>
      </c>
      <c r="D15">
        <f>D14*VLOOKUP(D$8,'N2O default values'!$M:$U,5)*VLOOKUP(D$8,'N2O default values'!$M:$U,8)</f>
        <v>2.72</v>
      </c>
      <c r="I15">
        <f>I14*VLOOKUP(I$8,'N2O default values'!$M:$U,5)*VLOOKUP(I$8,'N2O default values'!$M:$U,8)</f>
        <v>4.7774999999999999</v>
      </c>
      <c r="J15">
        <f>J14*VLOOKUP(J$8,'N2O default values'!$M:$U,5)*VLOOKUP(J$8,'N2O default values'!$M:$U,8)</f>
        <v>7.0576999999999996</v>
      </c>
      <c r="K15">
        <f>K14*VLOOKUP(K$8,'N2O default values'!$M:$U,5)*VLOOKUP(K$8,'N2O default values'!$M:$U,8)</f>
        <v>5.6550000000000002</v>
      </c>
      <c r="L15">
        <f>L14*VLOOKUP(L$8,'N2O default values'!$M:$U,5)*VLOOKUP(L$8,'N2O default values'!$M:$U,8)</f>
        <v>2.72</v>
      </c>
      <c r="P15">
        <f>P14*VLOOKUP(P$8,'N2O default values'!$M:$U,5)*VLOOKUP(P$8,'N2O default values'!$M:$U,8)</f>
        <v>5.9006999999999996</v>
      </c>
      <c r="Q15">
        <f>Q14*VLOOKUP(Q$8,'N2O default values'!$M:$U,5)*VLOOKUP(Q$8,'N2O default values'!$M:$U,8)</f>
        <v>3.06</v>
      </c>
      <c r="R15">
        <f>R14*VLOOKUP(R$8,'N2O default values'!$M:$U,5)*VLOOKUP(R$8,'N2O default values'!$M:$U,8)</f>
        <v>4.7774999999999999</v>
      </c>
      <c r="S15">
        <f>S14*VLOOKUP(S$8,'N2O default values'!$M:$U,5)*VLOOKUP(S$8,'N2O default values'!$M:$U,8)</f>
        <v>5.4809999999999999</v>
      </c>
    </row>
    <row r="16" spans="1:20" x14ac:dyDescent="0.25">
      <c r="A16" s="137" t="s">
        <v>309</v>
      </c>
      <c r="B16">
        <f>SUM(B14:B15)*VLOOKUP(B$8,'N2O default values'!$M:$U,6)</f>
        <v>2.5423740000000001</v>
      </c>
      <c r="C16">
        <f>SUM(C14:C15)*VLOOKUP(C$8,'N2O default values'!$M:$U,6)</f>
        <v>2.4882</v>
      </c>
      <c r="D16">
        <f>SUM(D14:D15)*VLOOKUP(D$8,'N2O default values'!$M:$U,6)</f>
        <v>1.1968000000000001</v>
      </c>
      <c r="I16">
        <f>SUM(I14:I15)*VLOOKUP(I$8,'N2O default values'!$M:$U,6)</f>
        <v>1.3399750000000001</v>
      </c>
      <c r="J16">
        <f>SUM(J14:J15)*VLOOKUP(J$8,'N2O default values'!$M:$U,6)</f>
        <v>2.8719410000000001</v>
      </c>
      <c r="K16">
        <f>SUM(K14:K15)*VLOOKUP(K$8,'N2O default values'!$M:$U,6)</f>
        <v>2.4882</v>
      </c>
      <c r="L16">
        <f>SUM(L14:L15)*VLOOKUP(L$8,'N2O default values'!$M:$U,6)</f>
        <v>1.1968000000000001</v>
      </c>
      <c r="P16">
        <f>SUM(P14:P15)*VLOOKUP(P$8,'N2O default values'!$M:$U,6)</f>
        <v>2.4011309999999999</v>
      </c>
      <c r="Q16">
        <f>SUM(Q14:Q15)*VLOOKUP(Q$8,'N2O default values'!$M:$U,6)</f>
        <v>1.3464</v>
      </c>
      <c r="R16">
        <f>SUM(R14:R15)*VLOOKUP(R$8,'N2O default values'!$M:$U,6)</f>
        <v>1.3399750000000001</v>
      </c>
      <c r="S16">
        <f>SUM(S14:S15)*VLOOKUP(S$8,'N2O default values'!$M:$U,6)</f>
        <v>2.4116399999999998</v>
      </c>
    </row>
    <row r="17" spans="1:20" x14ac:dyDescent="0.25">
      <c r="A17" s="137" t="s">
        <v>310</v>
      </c>
      <c r="B17">
        <f>(B15-GM!B11*VLOOKUP('N2O calculations'!B$8,'N2O default values'!$M:$U,9))*VLOOKUP('N2O calculations'!B$8,'N2O default values'!$M:$U,3)*1000</f>
        <v>37.486800000000009</v>
      </c>
      <c r="C17">
        <f>(C15-GM!C11*VLOOKUP('N2O calculations'!C$8,'N2O default values'!$M:$U,9))*VLOOKUP('N2O calculations'!C$8,'N2O default values'!$M:$U,3)*1000</f>
        <v>33.93</v>
      </c>
      <c r="D17">
        <f>(D15-GM!D11*VLOOKUP('N2O calculations'!D$8,'N2O default values'!$M:$U,9))*VLOOKUP('N2O calculations'!D$8,'N2O default values'!$M:$U,3)*1000</f>
        <v>21.76</v>
      </c>
      <c r="I17">
        <f>(I15-GM!I11*VLOOKUP('N2O calculations'!I$8,'N2O default values'!$M:$U,9))*VLOOKUP('N2O calculations'!I$8,'N2O default values'!$M:$U,3)*1000</f>
        <v>38.22</v>
      </c>
      <c r="J17">
        <f>(J15-GM!J11*VLOOKUP('N2O calculations'!J$8,'N2O default values'!$M:$U,9))*VLOOKUP('N2O calculations'!J$8,'N2O default values'!$M:$U,3)*1000</f>
        <v>42.346200000000003</v>
      </c>
      <c r="K17">
        <f>(K15-GM!K11*VLOOKUP('N2O calculations'!K$8,'N2O default values'!$M:$U,9))*VLOOKUP('N2O calculations'!K$8,'N2O default values'!$M:$U,3)*1000</f>
        <v>33.93</v>
      </c>
      <c r="L17">
        <f>(L15-GM!L11*VLOOKUP('N2O calculations'!L$8,'N2O default values'!$M:$U,9))*VLOOKUP('N2O calculations'!L$8,'N2O default values'!$M:$U,3)*1000</f>
        <v>21.76</v>
      </c>
      <c r="P17">
        <f>(P15-GM!P11*VLOOKUP('N2O calculations'!P$8,'N2O default values'!$M:$U,9))*VLOOKUP('N2O calculations'!P$8,'N2O default values'!$M:$U,3)*1000</f>
        <v>35.404199999999996</v>
      </c>
      <c r="Q17">
        <f>(Q15-GM!Q11*VLOOKUP('N2O calculations'!Q$8,'N2O default values'!$M:$U,9))*VLOOKUP('N2O calculations'!Q$8,'N2O default values'!$M:$U,3)*1000</f>
        <v>24.48</v>
      </c>
      <c r="R17">
        <f>(R15-GM!R11*VLOOKUP('N2O calculations'!R$8,'N2O default values'!$M:$U,9))*VLOOKUP('N2O calculations'!R$8,'N2O default values'!$M:$U,3)*1000</f>
        <v>38.22</v>
      </c>
      <c r="S17">
        <f>(S15-GM!S11*VLOOKUP('N2O calculations'!S$8,'N2O default values'!$M:$U,9))*VLOOKUP('N2O calculations'!S$8,'N2O default values'!$M:$U,3)*1000</f>
        <v>32.885999999999996</v>
      </c>
    </row>
    <row r="18" spans="1:20" x14ac:dyDescent="0.25">
      <c r="A18" s="137" t="s">
        <v>311</v>
      </c>
      <c r="B18">
        <f>B16*VLOOKUP(B$8,'N2O default values'!$M:$U,4)*1000</f>
        <v>22.881366</v>
      </c>
      <c r="C18">
        <f>C16*VLOOKUP(C$8,'N2O default values'!$M:$U,4)*1000</f>
        <v>17.417400000000001</v>
      </c>
      <c r="D18">
        <f>D16*VLOOKUP(D$8,'N2O default values'!$M:$U,4)*1000</f>
        <v>10.7712</v>
      </c>
      <c r="I18">
        <f>I16*VLOOKUP(I$8,'N2O default values'!$M:$U,4)*1000</f>
        <v>10.719800000000001</v>
      </c>
      <c r="J18">
        <f>J16*VLOOKUP(J$8,'N2O default values'!$M:$U,4)*1000</f>
        <v>25.847468999999997</v>
      </c>
      <c r="K18">
        <f>K16*VLOOKUP(K$8,'N2O default values'!$M:$U,4)*1000</f>
        <v>17.417400000000001</v>
      </c>
      <c r="L18">
        <f>L16*VLOOKUP(L$8,'N2O default values'!$M:$U,4)*1000</f>
        <v>10.7712</v>
      </c>
      <c r="P18">
        <f>P16*VLOOKUP(P$8,'N2O default values'!$M:$U,4)*1000</f>
        <v>21.610178999999995</v>
      </c>
      <c r="Q18">
        <f>Q16*VLOOKUP(Q$8,'N2O default values'!$M:$U,4)*1000</f>
        <v>12.117599999999999</v>
      </c>
      <c r="R18">
        <f>R16*VLOOKUP(R$8,'N2O default values'!$M:$U,4)*1000</f>
        <v>10.719800000000001</v>
      </c>
      <c r="S18">
        <f>S16*VLOOKUP(S$8,'N2O default values'!$M:$U,4)*1000</f>
        <v>16.881479999999996</v>
      </c>
    </row>
    <row r="19" spans="1:20" x14ac:dyDescent="0.25">
      <c r="A19" s="137" t="s">
        <v>312</v>
      </c>
      <c r="B19">
        <f>SUM(B17:B18)</f>
        <v>60.368166000000009</v>
      </c>
      <c r="C19">
        <f t="shared" ref="C19:D19" si="0">SUM(C17:C18)</f>
        <v>51.3474</v>
      </c>
      <c r="D19">
        <f t="shared" si="0"/>
        <v>32.531199999999998</v>
      </c>
      <c r="I19">
        <f>SUM(I17:I18)</f>
        <v>48.939799999999998</v>
      </c>
      <c r="J19">
        <f t="shared" ref="J19:L19" si="1">SUM(J17:J18)</f>
        <v>68.193669</v>
      </c>
      <c r="K19">
        <f t="shared" si="1"/>
        <v>51.3474</v>
      </c>
      <c r="L19">
        <f t="shared" si="1"/>
        <v>32.531199999999998</v>
      </c>
      <c r="P19">
        <f>SUM(P17:P18)</f>
        <v>57.014378999999991</v>
      </c>
      <c r="Q19">
        <f t="shared" ref="Q19:S19" si="2">SUM(Q17:Q18)</f>
        <v>36.5976</v>
      </c>
      <c r="R19">
        <f t="shared" si="2"/>
        <v>48.939799999999998</v>
      </c>
      <c r="S19">
        <f t="shared" si="2"/>
        <v>49.767479999999992</v>
      </c>
    </row>
    <row r="20" spans="1:20" x14ac:dyDescent="0.25">
      <c r="A20" s="137"/>
    </row>
    <row r="23" spans="1:20" x14ac:dyDescent="0.25">
      <c r="A23" t="s">
        <v>313</v>
      </c>
    </row>
    <row r="24" spans="1:20" x14ac:dyDescent="0.25">
      <c r="B24" s="47" t="str">
        <f>B7</f>
        <v>Winter wheat</v>
      </c>
      <c r="C24" s="47" t="str">
        <f t="shared" ref="C24:S24" si="3">C7</f>
        <v>Maize</v>
      </c>
      <c r="D24" s="47" t="str">
        <f t="shared" si="3"/>
        <v>Sunflower</v>
      </c>
      <c r="E24" s="47"/>
      <c r="F24" s="47"/>
      <c r="G24" s="47"/>
      <c r="H24" s="47"/>
      <c r="I24" s="47" t="str">
        <f t="shared" si="3"/>
        <v>Forage pea</v>
      </c>
      <c r="J24" s="47" t="str">
        <f t="shared" si="3"/>
        <v>Winter wheat</v>
      </c>
      <c r="K24" s="47" t="str">
        <f t="shared" si="3"/>
        <v>Maize</v>
      </c>
      <c r="L24" s="47" t="str">
        <f t="shared" si="3"/>
        <v>Sunflower</v>
      </c>
      <c r="M24" s="47"/>
      <c r="N24" s="47"/>
      <c r="O24" s="47"/>
      <c r="P24" s="47" t="str">
        <f t="shared" si="3"/>
        <v>Winter wheat</v>
      </c>
      <c r="Q24" s="47" t="str">
        <f t="shared" si="3"/>
        <v>Sunflower</v>
      </c>
      <c r="R24" s="47" t="str">
        <f t="shared" si="3"/>
        <v>Forage pea</v>
      </c>
      <c r="S24" s="47" t="str">
        <f t="shared" si="3"/>
        <v>Maize</v>
      </c>
      <c r="T24" s="47"/>
    </row>
    <row r="25" spans="1:20" x14ac:dyDescent="0.25">
      <c r="A25" s="137" t="s">
        <v>320</v>
      </c>
      <c r="B25">
        <f>'N fertilizer'!B13*'N2O default values'!$E$2+'N fertilizer'!B18*'N2O default values'!$E$2+'N fertilizer'!B23*'N2O default values'!$E$2</f>
        <v>4.5941546666666664</v>
      </c>
      <c r="C25">
        <f>'N fertilizer'!C13*'N2O default values'!$E$2+'N fertilizer'!C18*'N2O default values'!$E$2+'N fertilizer'!C23*'N2O default values'!$E$2</f>
        <v>2.6353600000000004</v>
      </c>
      <c r="D25">
        <f>'N fertilizer'!D13*'N2O default values'!$E$2+'N fertilizer'!D18*'N2O default values'!$E$2+'N fertilizer'!D23*'N2O default values'!$E$2</f>
        <v>1.9227839999999998</v>
      </c>
      <c r="I25">
        <f>'N fertilizer'!I13*'N2O default values'!$E$2+'N fertilizer'!I18*'N2O default values'!$E$2+'N fertilizer'!I23*'N2O default values'!$E$2</f>
        <v>1.991276</v>
      </c>
      <c r="J25">
        <f>'N fertilizer'!J13*'N2O default values'!$E$2+'N fertilizer'!J18*'N2O default values'!$E$2+'N fertilizer'!J23*'N2O default values'!$E$2</f>
        <v>1.64696</v>
      </c>
      <c r="K25">
        <f>'N fertilizer'!K13*'N2O default values'!$E$2+'N fertilizer'!K18*'N2O default values'!$E$2+'N fertilizer'!K23*'N2O default values'!$E$2</f>
        <v>2.6353600000000004</v>
      </c>
      <c r="L25">
        <f>'N fertilizer'!L13*'N2O default values'!$E$2+'N fertilizer'!L18*'N2O default values'!$E$2+'N fertilizer'!L23*'N2O default values'!$E$2</f>
        <v>1.9227839999999998</v>
      </c>
      <c r="P25">
        <f>'N fertilizer'!P13*'N2O default values'!$E$2+'N fertilizer'!P18*'N2O default values'!$E$2+'N fertilizer'!P23*'N2O default values'!$E$2</f>
        <v>3.939816</v>
      </c>
      <c r="Q25">
        <f>'N fertilizer'!Q13*'N2O default values'!$E$2+'N fertilizer'!Q18*'N2O default values'!$E$2+'N fertilizer'!Q23*'N2O default values'!$E$2</f>
        <v>1.9227839999999998</v>
      </c>
      <c r="R25">
        <f>'N fertilizer'!R13*'N2O default values'!$E$2+'N fertilizer'!R18*'N2O default values'!$E$2+'N fertilizer'!R23*'N2O default values'!$E$2</f>
        <v>0</v>
      </c>
      <c r="S25">
        <f>'N fertilizer'!S13*'N2O default values'!$E$2+'N fertilizer'!S18*'N2O default values'!$E$2+'N fertilizer'!S23*'N2O default values'!$E$2</f>
        <v>2.3060800000000001</v>
      </c>
    </row>
    <row r="26" spans="1:20" x14ac:dyDescent="0.25">
      <c r="A26" t="s">
        <v>321</v>
      </c>
      <c r="B26">
        <f>(SUM(B9:B11)*'N2O default values'!$E$4)</f>
        <v>0.10089100000000001</v>
      </c>
      <c r="C26">
        <f>(SUM(C9:C11)*'N2O default values'!$E$4)</f>
        <v>0.115297</v>
      </c>
      <c r="D26">
        <f>(SUM(D9:D11)*'N2O default values'!$E$4)</f>
        <v>0.25227579999999999</v>
      </c>
      <c r="I26">
        <f>(SUM(I9:I11)*'N2O default values'!$E$4)</f>
        <v>2.4640000000000002E-2</v>
      </c>
      <c r="J26">
        <f>(SUM(J9:J11)*'N2O default values'!$E$4)</f>
        <v>7.2054500000000007E-2</v>
      </c>
      <c r="K26">
        <f>(SUM(K9:K11)*'N2O default values'!$E$4)</f>
        <v>0.115297</v>
      </c>
      <c r="L26">
        <f>(SUM(L9:L11)*'N2O default values'!$E$4)</f>
        <v>0.25227579999999999</v>
      </c>
      <c r="P26">
        <f>(SUM(P9:P11)*'N2O default values'!$E$4)</f>
        <v>0.10089100000000001</v>
      </c>
      <c r="Q26">
        <f>(SUM(Q9:Q11)*'N2O default values'!$E$4)</f>
        <v>0.25227579999999999</v>
      </c>
      <c r="R26">
        <f>(SUM(R9:R11)*'N2O default values'!$E$4)</f>
        <v>0</v>
      </c>
      <c r="S26">
        <f>(SUM(S9:S11)*'N2O default values'!$E$4)</f>
        <v>0.10089100000000001</v>
      </c>
    </row>
    <row r="27" spans="1:20" x14ac:dyDescent="0.25">
      <c r="A27" t="s">
        <v>306</v>
      </c>
      <c r="B27">
        <f>B12*'N2O default values'!$E$5</f>
        <v>0.46524782857142921</v>
      </c>
      <c r="C27">
        <f>C12*'N2O default values'!$E$5</f>
        <v>0.53717745714285725</v>
      </c>
      <c r="D27">
        <f>D12*'N2O default values'!$E$5</f>
        <v>0.31880903999999999</v>
      </c>
      <c r="I27">
        <f>I12*'N2O default values'!$E$5</f>
        <v>0.2975161500632596</v>
      </c>
      <c r="J27">
        <f>J12*'N2O default values'!$E$5</f>
        <v>0.32263345714285729</v>
      </c>
      <c r="K27">
        <f>K12*'N2O default values'!$E$5</f>
        <v>0.53717745714285725</v>
      </c>
      <c r="L27">
        <f>L12*'N2O default values'!$E$5</f>
        <v>0.31880903999999999</v>
      </c>
      <c r="P27">
        <f>P12*'N2O default values'!$E$5</f>
        <v>0.49436702857142917</v>
      </c>
      <c r="Q27">
        <f>Q12*'N2O default values'!$E$5</f>
        <v>0.23040071999999998</v>
      </c>
      <c r="R27">
        <f>R12*'N2O default values'!$E$5</f>
        <v>0.23717971595582768</v>
      </c>
      <c r="S27">
        <f>S12*'N2O default values'!$E$5</f>
        <v>0.60514133428571459</v>
      </c>
    </row>
    <row r="28" spans="1:20" x14ac:dyDescent="0.25">
      <c r="A28" t="s">
        <v>322</v>
      </c>
      <c r="B28">
        <f>B19*'N2O default values'!$E$3</f>
        <v>0.36220899600000006</v>
      </c>
      <c r="C28">
        <f>C19*'N2O default values'!$E$3</f>
        <v>0.30808440000000004</v>
      </c>
      <c r="D28">
        <f>D19*'N2O default values'!$E$3</f>
        <v>0.19518720000000001</v>
      </c>
      <c r="I28">
        <f>I19*'N2O default values'!$E$3</f>
        <v>0.29363879999999998</v>
      </c>
      <c r="J28">
        <f>J19*'N2O default values'!$E$3</f>
        <v>0.40916201400000002</v>
      </c>
      <c r="K28">
        <f>K19*'N2O default values'!$E$3</f>
        <v>0.30808440000000004</v>
      </c>
      <c r="L28">
        <f>L19*'N2O default values'!$E$3</f>
        <v>0.19518720000000001</v>
      </c>
      <c r="P28">
        <f>P19*'N2O default values'!$E$3</f>
        <v>0.34208627399999997</v>
      </c>
      <c r="Q28">
        <f>Q19*'N2O default values'!$E$3</f>
        <v>0.21958559999999999</v>
      </c>
      <c r="R28">
        <f>R19*'N2O default values'!$E$3</f>
        <v>0.29363879999999998</v>
      </c>
      <c r="S28">
        <f>S19*'N2O default values'!$E$3</f>
        <v>0.29860487999999996</v>
      </c>
    </row>
    <row r="30" spans="1:20" x14ac:dyDescent="0.25">
      <c r="A30" t="s">
        <v>323</v>
      </c>
    </row>
    <row r="31" spans="1:20" x14ac:dyDescent="0.25">
      <c r="A31">
        <f>SUM(B31:F31)</f>
        <v>18.554607324598642</v>
      </c>
      <c r="B31">
        <f>SUM(B25:B28)*'N2O default values'!$G$2</f>
        <v>8.6782182005170068</v>
      </c>
      <c r="C31">
        <f>SUM(C25:C28)*'N2O default values'!$G$2</f>
        <v>5.6507296326530616</v>
      </c>
      <c r="D31">
        <f>SUM(D25:D28)*'N2O default values'!$G$2</f>
        <v>4.225659491428571</v>
      </c>
      <c r="H31">
        <f>SUM(I31:M31)</f>
        <v>17.82448771454839</v>
      </c>
      <c r="I31">
        <f>SUM(I25:I28)*'N2O default values'!$G$2</f>
        <v>4.0968257786708371</v>
      </c>
      <c r="J31">
        <f>SUM(J25:J28)*'N2O default values'!$G$2</f>
        <v>3.8512728117959183</v>
      </c>
      <c r="K31">
        <f>SUM(K25:K28)*'N2O default values'!$G$2</f>
        <v>5.6507296326530616</v>
      </c>
      <c r="L31">
        <f>SUM(L25:L28)*'N2O default values'!$G$2</f>
        <v>4.225659491428571</v>
      </c>
      <c r="O31">
        <f>SUM(P31:T31)</f>
        <v>17.825880525848955</v>
      </c>
      <c r="P31">
        <f>SUM(P25:P28)*'N2O default values'!$G$2</f>
        <v>7.66410904689796</v>
      </c>
      <c r="Q31">
        <f>SUM(Q25:Q28)*'N2O default values'!$G$2</f>
        <v>4.1250724742857132</v>
      </c>
      <c r="R31">
        <f>SUM(R25:R28)*'N2O default values'!$G$2</f>
        <v>0.83414338221630058</v>
      </c>
      <c r="S31">
        <f>SUM(S25:S28)*'N2O default values'!$G$2</f>
        <v>5.2025556224489806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baseColWidth="10" defaultColWidth="9.140625" defaultRowHeight="15" x14ac:dyDescent="0.25"/>
  <cols>
    <col min="2" max="2" width="17.7109375" bestFit="1" customWidth="1"/>
    <col min="11" max="11" width="41.7109375" customWidth="1"/>
    <col min="12" max="12" width="7" customWidth="1"/>
    <col min="13" max="13" width="14.140625" bestFit="1" customWidth="1"/>
    <col min="14" max="14" width="41.85546875" customWidth="1"/>
    <col min="15" max="19" width="30.7109375" customWidth="1"/>
  </cols>
  <sheetData>
    <row r="1" spans="1:21" ht="45" x14ac:dyDescent="0.25">
      <c r="A1">
        <v>1</v>
      </c>
      <c r="C1" t="s">
        <v>304</v>
      </c>
      <c r="D1" t="s">
        <v>324</v>
      </c>
      <c r="G1" t="s">
        <v>325</v>
      </c>
      <c r="I1" t="s">
        <v>326</v>
      </c>
      <c r="K1" s="69"/>
      <c r="M1" t="s">
        <v>327</v>
      </c>
      <c r="N1" t="s">
        <v>281</v>
      </c>
      <c r="O1" s="21" t="s">
        <v>328</v>
      </c>
      <c r="P1" s="21" t="s">
        <v>329</v>
      </c>
      <c r="Q1" s="21" t="s">
        <v>330</v>
      </c>
      <c r="R1" s="21" t="s">
        <v>331</v>
      </c>
      <c r="S1" s="21" t="s">
        <v>282</v>
      </c>
      <c r="T1" s="21" t="s">
        <v>332</v>
      </c>
      <c r="U1" s="21" t="s">
        <v>333</v>
      </c>
    </row>
    <row r="2" spans="1:21" x14ac:dyDescent="0.25">
      <c r="A2">
        <v>2</v>
      </c>
      <c r="B2" t="s">
        <v>334</v>
      </c>
      <c r="C2">
        <v>1.6E-2</v>
      </c>
      <c r="D2">
        <v>5.0000000000000001E-3</v>
      </c>
      <c r="E2">
        <f>HLOOKUP('N2O calculations'!$B$6,$B$1:$D$10,A2)</f>
        <v>1.6E-2</v>
      </c>
      <c r="G2">
        <f>44/28</f>
        <v>1.5714285714285714</v>
      </c>
      <c r="I2" t="s">
        <v>335</v>
      </c>
      <c r="J2">
        <v>0.15</v>
      </c>
      <c r="K2" s="138" t="s">
        <v>336</v>
      </c>
      <c r="L2" s="139">
        <v>0.15</v>
      </c>
      <c r="M2">
        <v>1</v>
      </c>
      <c r="N2" s="21" t="s">
        <v>283</v>
      </c>
      <c r="O2" s="21">
        <v>8.0000000000000002E-3</v>
      </c>
      <c r="P2" s="21">
        <v>8.9999999999999993E-3</v>
      </c>
      <c r="Q2" s="21">
        <v>1</v>
      </c>
      <c r="R2" s="21">
        <v>0.22</v>
      </c>
      <c r="S2" s="21">
        <v>0.85</v>
      </c>
      <c r="T2" s="21">
        <v>1</v>
      </c>
      <c r="U2">
        <f>S2</f>
        <v>0.85</v>
      </c>
    </row>
    <row r="3" spans="1:21" x14ac:dyDescent="0.25">
      <c r="A3">
        <v>3</v>
      </c>
      <c r="B3" t="s">
        <v>337</v>
      </c>
      <c r="C3">
        <v>6.0000000000000001E-3</v>
      </c>
      <c r="D3">
        <v>5.0000000000000001E-3</v>
      </c>
      <c r="E3">
        <f>HLOOKUP('N2O calculations'!$B$6,$B$1:$D$10,A3)</f>
        <v>6.0000000000000001E-3</v>
      </c>
      <c r="I3" t="s">
        <v>338</v>
      </c>
      <c r="J3">
        <v>0.08</v>
      </c>
      <c r="K3" s="140" t="s">
        <v>339</v>
      </c>
      <c r="L3" s="139">
        <v>0.08</v>
      </c>
      <c r="M3">
        <v>2</v>
      </c>
      <c r="N3" t="s">
        <v>284</v>
      </c>
      <c r="O3">
        <v>6.0000000000000001E-3</v>
      </c>
      <c r="P3">
        <v>8.9999999999999993E-3</v>
      </c>
      <c r="Q3">
        <v>1.3</v>
      </c>
      <c r="R3">
        <v>0.22</v>
      </c>
      <c r="S3">
        <v>0.88</v>
      </c>
      <c r="T3" s="21">
        <v>1</v>
      </c>
      <c r="U3">
        <f t="shared" ref="U3:U22" si="0">S3</f>
        <v>0.88</v>
      </c>
    </row>
    <row r="4" spans="1:21" x14ac:dyDescent="0.25">
      <c r="A4">
        <v>4</v>
      </c>
      <c r="B4" t="s">
        <v>340</v>
      </c>
      <c r="C4">
        <v>1.4E-2</v>
      </c>
      <c r="D4">
        <v>5.0000000000000001E-3</v>
      </c>
      <c r="E4">
        <f>HLOOKUP('N2O calculations'!$B$6,$B$1:$D$10,A4)</f>
        <v>1.4E-2</v>
      </c>
      <c r="I4" t="s">
        <v>341</v>
      </c>
      <c r="J4">
        <v>0.01</v>
      </c>
      <c r="K4" s="140" t="s">
        <v>342</v>
      </c>
      <c r="L4" s="139">
        <v>0.01</v>
      </c>
      <c r="M4">
        <v>3</v>
      </c>
      <c r="N4" t="s">
        <v>285</v>
      </c>
      <c r="O4">
        <v>6.0000000000000001E-3</v>
      </c>
      <c r="P4">
        <v>8.9999999999999993E-3</v>
      </c>
      <c r="Q4">
        <v>1.3</v>
      </c>
      <c r="R4">
        <v>0.23</v>
      </c>
      <c r="S4">
        <v>0.89</v>
      </c>
      <c r="T4" s="21">
        <v>1</v>
      </c>
      <c r="U4">
        <f t="shared" si="0"/>
        <v>0.89</v>
      </c>
    </row>
    <row r="5" spans="1:21" x14ac:dyDescent="0.25">
      <c r="A5">
        <v>5</v>
      </c>
      <c r="B5" t="s">
        <v>306</v>
      </c>
      <c r="E5">
        <v>1.0999999999999999E-2</v>
      </c>
      <c r="I5" t="s">
        <v>343</v>
      </c>
      <c r="J5">
        <v>0.05</v>
      </c>
      <c r="K5" s="141" t="s">
        <v>344</v>
      </c>
      <c r="L5" s="141">
        <v>0.05</v>
      </c>
      <c r="M5">
        <v>4</v>
      </c>
      <c r="N5" t="s">
        <v>286</v>
      </c>
      <c r="O5">
        <v>6.0000000000000001E-3</v>
      </c>
      <c r="P5">
        <v>8.9999999999999993E-3</v>
      </c>
      <c r="Q5">
        <v>1.3</v>
      </c>
      <c r="R5">
        <v>0.28000000000000003</v>
      </c>
      <c r="S5">
        <v>0.89</v>
      </c>
      <c r="T5" s="21">
        <v>1</v>
      </c>
      <c r="U5">
        <f t="shared" si="0"/>
        <v>0.89</v>
      </c>
    </row>
    <row r="6" spans="1:21" x14ac:dyDescent="0.25">
      <c r="A6">
        <v>6</v>
      </c>
      <c r="I6" t="s">
        <v>345</v>
      </c>
      <c r="J6">
        <v>0.05</v>
      </c>
      <c r="K6" s="141" t="s">
        <v>346</v>
      </c>
      <c r="L6" s="141">
        <v>0.11</v>
      </c>
      <c r="M6">
        <v>5</v>
      </c>
      <c r="N6" t="s">
        <v>287</v>
      </c>
      <c r="O6">
        <v>7.0000000000000001E-3</v>
      </c>
      <c r="P6">
        <v>1.4E-2</v>
      </c>
      <c r="Q6">
        <v>1.2</v>
      </c>
      <c r="R6">
        <v>0.22</v>
      </c>
      <c r="S6">
        <v>0.89</v>
      </c>
      <c r="T6" s="21">
        <v>1</v>
      </c>
      <c r="U6">
        <f t="shared" si="0"/>
        <v>0.89</v>
      </c>
    </row>
    <row r="7" spans="1:21" x14ac:dyDescent="0.25">
      <c r="A7">
        <v>7</v>
      </c>
      <c r="I7" t="s">
        <v>347</v>
      </c>
      <c r="J7">
        <v>0.21</v>
      </c>
      <c r="M7">
        <v>6</v>
      </c>
      <c r="N7" t="s">
        <v>288</v>
      </c>
      <c r="O7">
        <v>7.0000000000000001E-3</v>
      </c>
      <c r="P7">
        <v>8.0000000000000002E-3</v>
      </c>
      <c r="Q7">
        <v>1.3</v>
      </c>
      <c r="R7">
        <v>0.25</v>
      </c>
      <c r="S7">
        <v>0.89</v>
      </c>
      <c r="T7" s="21">
        <v>1</v>
      </c>
      <c r="U7">
        <f t="shared" si="0"/>
        <v>0.89</v>
      </c>
    </row>
    <row r="8" spans="1:21" x14ac:dyDescent="0.25">
      <c r="A8">
        <v>8</v>
      </c>
      <c r="I8" t="s">
        <v>348</v>
      </c>
      <c r="J8">
        <v>0.05</v>
      </c>
      <c r="M8">
        <v>7</v>
      </c>
      <c r="N8" t="s">
        <v>241</v>
      </c>
      <c r="O8">
        <v>6.0000000000000001E-3</v>
      </c>
      <c r="P8">
        <v>7.0000000000000001E-3</v>
      </c>
      <c r="Q8">
        <v>1</v>
      </c>
      <c r="R8">
        <v>0.22</v>
      </c>
      <c r="S8">
        <v>0.87</v>
      </c>
      <c r="T8" s="21">
        <v>1</v>
      </c>
      <c r="U8">
        <f t="shared" si="0"/>
        <v>0.87</v>
      </c>
    </row>
    <row r="9" spans="1:21" x14ac:dyDescent="0.25">
      <c r="A9">
        <v>9</v>
      </c>
      <c r="I9" s="150" t="s">
        <v>249</v>
      </c>
      <c r="J9" s="150">
        <v>0.05</v>
      </c>
      <c r="M9">
        <v>8</v>
      </c>
      <c r="N9" t="s">
        <v>289</v>
      </c>
      <c r="O9">
        <v>5.0000000000000001E-3</v>
      </c>
      <c r="P9">
        <v>1.0999999999999999E-2</v>
      </c>
      <c r="Q9">
        <v>1.6</v>
      </c>
      <c r="R9" s="142">
        <f>R2</f>
        <v>0.22</v>
      </c>
      <c r="S9">
        <v>0.88</v>
      </c>
      <c r="T9" s="21">
        <v>1</v>
      </c>
      <c r="U9">
        <f t="shared" si="0"/>
        <v>0.88</v>
      </c>
    </row>
    <row r="10" spans="1:21" x14ac:dyDescent="0.25">
      <c r="A10">
        <v>10</v>
      </c>
      <c r="I10" t="s">
        <v>349</v>
      </c>
      <c r="J10">
        <v>0.05</v>
      </c>
      <c r="M10">
        <v>9</v>
      </c>
      <c r="N10" t="s">
        <v>290</v>
      </c>
      <c r="O10">
        <v>7.0000000000000001E-3</v>
      </c>
      <c r="P10" s="142">
        <f>P2</f>
        <v>8.9999999999999993E-3</v>
      </c>
      <c r="Q10">
        <v>1.4</v>
      </c>
      <c r="R10">
        <v>0.16</v>
      </c>
      <c r="S10">
        <v>0.89</v>
      </c>
      <c r="T10" s="21">
        <v>1</v>
      </c>
      <c r="U10">
        <f t="shared" si="0"/>
        <v>0.89</v>
      </c>
    </row>
    <row r="11" spans="1:21" x14ac:dyDescent="0.25">
      <c r="I11" t="s">
        <v>350</v>
      </c>
      <c r="J11" s="137">
        <v>0.11</v>
      </c>
      <c r="M11">
        <v>10</v>
      </c>
      <c r="N11" t="s">
        <v>291</v>
      </c>
      <c r="O11">
        <v>7.0000000000000001E-3</v>
      </c>
      <c r="P11" s="142">
        <f>P2</f>
        <v>8.9999999999999993E-3</v>
      </c>
      <c r="Q11">
        <v>1.4</v>
      </c>
      <c r="R11" s="142">
        <f>R2</f>
        <v>0.22</v>
      </c>
      <c r="S11" s="55">
        <v>0.9</v>
      </c>
      <c r="T11" s="21">
        <v>1</v>
      </c>
      <c r="U11">
        <f t="shared" si="0"/>
        <v>0.9</v>
      </c>
    </row>
    <row r="12" spans="1:21" x14ac:dyDescent="0.25">
      <c r="I12" t="s">
        <v>351</v>
      </c>
      <c r="J12" s="137">
        <v>0.08</v>
      </c>
      <c r="M12">
        <v>11</v>
      </c>
      <c r="N12" t="s">
        <v>292</v>
      </c>
      <c r="O12">
        <v>7.0000000000000001E-3</v>
      </c>
      <c r="P12">
        <v>6.0000000000000001E-3</v>
      </c>
      <c r="Q12">
        <v>1.4</v>
      </c>
      <c r="R12" s="142">
        <f>R2</f>
        <v>0.22</v>
      </c>
      <c r="S12">
        <v>0.89</v>
      </c>
      <c r="T12" s="21">
        <v>1</v>
      </c>
      <c r="U12">
        <f t="shared" si="0"/>
        <v>0.89</v>
      </c>
    </row>
    <row r="13" spans="1:21" x14ac:dyDescent="0.25">
      <c r="I13" t="s">
        <v>352</v>
      </c>
      <c r="J13">
        <v>0.11</v>
      </c>
      <c r="M13">
        <v>12</v>
      </c>
      <c r="N13" t="s">
        <v>293</v>
      </c>
      <c r="O13">
        <v>8.0000000000000002E-3</v>
      </c>
      <c r="P13">
        <v>8.0000000000000002E-3</v>
      </c>
      <c r="Q13">
        <v>2.1</v>
      </c>
      <c r="R13">
        <v>0.19</v>
      </c>
      <c r="S13">
        <v>0.91</v>
      </c>
      <c r="T13" s="21">
        <v>1</v>
      </c>
      <c r="U13">
        <f t="shared" si="0"/>
        <v>0.91</v>
      </c>
    </row>
    <row r="14" spans="1:21" x14ac:dyDescent="0.25">
      <c r="I14" t="s">
        <v>353</v>
      </c>
      <c r="J14">
        <v>0.05</v>
      </c>
      <c r="M14">
        <v>13</v>
      </c>
      <c r="N14" t="s">
        <v>294</v>
      </c>
      <c r="O14">
        <v>8.0000000000000002E-3</v>
      </c>
      <c r="P14">
        <v>8.0000000000000002E-3</v>
      </c>
      <c r="Q14">
        <v>2.1</v>
      </c>
      <c r="R14">
        <v>0.19</v>
      </c>
      <c r="S14">
        <v>0.91</v>
      </c>
      <c r="T14" s="21">
        <v>1</v>
      </c>
      <c r="U14">
        <f t="shared" si="0"/>
        <v>0.91</v>
      </c>
    </row>
    <row r="15" spans="1:21" x14ac:dyDescent="0.25">
      <c r="I15" s="150" t="s">
        <v>78</v>
      </c>
      <c r="J15" s="150">
        <v>0.15</v>
      </c>
      <c r="M15">
        <v>14</v>
      </c>
      <c r="N15" t="s">
        <v>295</v>
      </c>
      <c r="O15">
        <v>1.9E-2</v>
      </c>
      <c r="P15">
        <v>1.4E-2</v>
      </c>
      <c r="Q15">
        <v>0.4</v>
      </c>
      <c r="R15">
        <v>0.2</v>
      </c>
      <c r="S15">
        <v>0.22</v>
      </c>
      <c r="T15" s="21">
        <v>1</v>
      </c>
      <c r="U15">
        <f t="shared" si="0"/>
        <v>0.22</v>
      </c>
    </row>
    <row r="16" spans="1:21" x14ac:dyDescent="0.25">
      <c r="I16" s="150" t="s">
        <v>357</v>
      </c>
      <c r="J16" s="150">
        <v>0.11</v>
      </c>
      <c r="M16">
        <v>15</v>
      </c>
      <c r="N16" t="s">
        <v>296</v>
      </c>
      <c r="O16">
        <v>1.6E-2</v>
      </c>
      <c r="P16" s="142">
        <f>P2</f>
        <v>8.9999999999999993E-3</v>
      </c>
      <c r="Q16">
        <v>1</v>
      </c>
      <c r="R16" s="142">
        <f>R2</f>
        <v>0.22</v>
      </c>
      <c r="S16">
        <v>0.94</v>
      </c>
      <c r="T16" s="21">
        <v>1</v>
      </c>
      <c r="U16">
        <f t="shared" si="0"/>
        <v>0.94</v>
      </c>
    </row>
    <row r="17" spans="9:21" x14ac:dyDescent="0.25">
      <c r="I17" s="150" t="s">
        <v>141</v>
      </c>
      <c r="J17" s="150">
        <v>0.08</v>
      </c>
      <c r="M17">
        <v>16</v>
      </c>
      <c r="N17" t="s">
        <v>297</v>
      </c>
      <c r="O17">
        <v>2.7E-2</v>
      </c>
      <c r="P17">
        <v>1.9E-2</v>
      </c>
      <c r="Q17" s="142">
        <f>Q$2</f>
        <v>1</v>
      </c>
      <c r="R17">
        <v>0.4</v>
      </c>
      <c r="S17">
        <v>0.9</v>
      </c>
      <c r="T17" s="21">
        <v>1</v>
      </c>
      <c r="U17">
        <f t="shared" si="0"/>
        <v>0.9</v>
      </c>
    </row>
    <row r="18" spans="9:21" x14ac:dyDescent="0.25">
      <c r="M18">
        <v>17</v>
      </c>
      <c r="N18" t="s">
        <v>298</v>
      </c>
      <c r="O18">
        <v>1.4999999999999999E-2</v>
      </c>
      <c r="P18">
        <v>1.2E-2</v>
      </c>
      <c r="Q18" s="142">
        <f>Q$2</f>
        <v>1</v>
      </c>
      <c r="R18">
        <v>0.54</v>
      </c>
      <c r="S18">
        <v>0.9</v>
      </c>
      <c r="T18" s="21"/>
      <c r="U18">
        <f t="shared" si="0"/>
        <v>0.9</v>
      </c>
    </row>
    <row r="19" spans="9:21" x14ac:dyDescent="0.25">
      <c r="M19">
        <v>18</v>
      </c>
      <c r="N19" t="s">
        <v>299</v>
      </c>
      <c r="O19">
        <v>2.7E-2</v>
      </c>
      <c r="P19">
        <v>2.1999999999999999E-2</v>
      </c>
      <c r="Q19">
        <v>0.3</v>
      </c>
      <c r="R19">
        <v>0.4</v>
      </c>
      <c r="S19">
        <v>0.9</v>
      </c>
      <c r="T19" s="21"/>
      <c r="U19">
        <f t="shared" si="0"/>
        <v>0.9</v>
      </c>
    </row>
    <row r="20" spans="9:21" x14ac:dyDescent="0.25">
      <c r="M20">
        <v>19</v>
      </c>
      <c r="N20" t="s">
        <v>300</v>
      </c>
      <c r="O20">
        <v>1.4999999999999999E-2</v>
      </c>
      <c r="P20">
        <v>1.2E-2</v>
      </c>
      <c r="Q20">
        <v>0.3</v>
      </c>
      <c r="R20">
        <v>0.54</v>
      </c>
      <c r="S20">
        <v>0.9</v>
      </c>
      <c r="T20" s="21"/>
      <c r="U20">
        <f t="shared" si="0"/>
        <v>0.9</v>
      </c>
    </row>
    <row r="21" spans="9:21" x14ac:dyDescent="0.25">
      <c r="M21">
        <v>20</v>
      </c>
      <c r="N21" t="s">
        <v>301</v>
      </c>
      <c r="O21">
        <v>1.4999999999999999E-2</v>
      </c>
      <c r="P21">
        <v>1.2E-2</v>
      </c>
      <c r="Q21">
        <v>0.3</v>
      </c>
      <c r="R21">
        <v>0.8</v>
      </c>
      <c r="S21">
        <v>0.9</v>
      </c>
      <c r="T21" s="21"/>
      <c r="U21">
        <f t="shared" si="0"/>
        <v>0.9</v>
      </c>
    </row>
    <row r="22" spans="9:21" x14ac:dyDescent="0.25">
      <c r="M22">
        <v>21</v>
      </c>
      <c r="N22" t="s">
        <v>302</v>
      </c>
      <c r="O22">
        <v>2.5000000000000001E-2</v>
      </c>
      <c r="P22">
        <v>1.6E-2</v>
      </c>
      <c r="Q22">
        <v>0.3</v>
      </c>
      <c r="R22">
        <v>0.8</v>
      </c>
      <c r="S22">
        <v>0.9</v>
      </c>
      <c r="T22" s="21"/>
      <c r="U22">
        <f t="shared" si="0"/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:B13"/>
    </sheetView>
  </sheetViews>
  <sheetFormatPr baseColWidth="10" defaultColWidth="9.140625" defaultRowHeight="15" x14ac:dyDescent="0.25"/>
  <cols>
    <col min="1" max="1" width="18" customWidth="1"/>
  </cols>
  <sheetData>
    <row r="1" spans="1:6" x14ac:dyDescent="0.25">
      <c r="A1" t="s">
        <v>281</v>
      </c>
      <c r="B1" t="s">
        <v>354</v>
      </c>
      <c r="E1" s="69"/>
    </row>
    <row r="2" spans="1:6" x14ac:dyDescent="0.25">
      <c r="A2" s="143" t="s">
        <v>319</v>
      </c>
      <c r="B2">
        <v>12</v>
      </c>
      <c r="C2" s="18"/>
      <c r="D2" s="21"/>
      <c r="E2" s="18"/>
    </row>
    <row r="3" spans="1:6" x14ac:dyDescent="0.25">
      <c r="A3" s="135" t="s">
        <v>318</v>
      </c>
      <c r="B3">
        <v>12</v>
      </c>
      <c r="C3" s="18"/>
      <c r="E3" s="18"/>
    </row>
    <row r="4" spans="1:6" x14ac:dyDescent="0.25">
      <c r="A4" s="135" t="s">
        <v>317</v>
      </c>
      <c r="B4">
        <v>5</v>
      </c>
      <c r="E4" s="18"/>
    </row>
    <row r="5" spans="1:6" x14ac:dyDescent="0.25">
      <c r="A5" s="135" t="s">
        <v>315</v>
      </c>
      <c r="B5">
        <v>5</v>
      </c>
      <c r="E5" s="122"/>
    </row>
    <row r="6" spans="1:6" x14ac:dyDescent="0.25">
      <c r="A6" s="135" t="s">
        <v>316</v>
      </c>
      <c r="B6">
        <v>6</v>
      </c>
      <c r="E6" s="18"/>
    </row>
    <row r="7" spans="1:6" x14ac:dyDescent="0.25">
      <c r="A7" s="135" t="s">
        <v>314</v>
      </c>
      <c r="B7">
        <v>1</v>
      </c>
      <c r="E7" s="18"/>
      <c r="F7" s="127"/>
    </row>
    <row r="8" spans="1:6" x14ac:dyDescent="0.25">
      <c r="A8" s="135" t="s">
        <v>244</v>
      </c>
      <c r="B8">
        <v>3</v>
      </c>
      <c r="E8" s="18"/>
      <c r="F8" s="127"/>
    </row>
    <row r="9" spans="1:6" x14ac:dyDescent="0.25">
      <c r="A9" s="144" t="s">
        <v>355</v>
      </c>
      <c r="B9">
        <v>13</v>
      </c>
      <c r="C9" s="18"/>
      <c r="E9" s="18"/>
    </row>
    <row r="10" spans="1:6" x14ac:dyDescent="0.25">
      <c r="A10" s="69" t="s">
        <v>241</v>
      </c>
      <c r="B10">
        <v>7</v>
      </c>
      <c r="C10" s="18"/>
      <c r="E10" s="18"/>
    </row>
    <row r="11" spans="1:6" x14ac:dyDescent="0.25">
      <c r="A11" s="135" t="s">
        <v>242</v>
      </c>
      <c r="B11">
        <v>1</v>
      </c>
      <c r="E11" s="18"/>
    </row>
    <row r="12" spans="1:6" x14ac:dyDescent="0.25">
      <c r="A12" s="47" t="s">
        <v>356</v>
      </c>
      <c r="B12">
        <v>12</v>
      </c>
      <c r="E12" s="18"/>
    </row>
    <row r="13" spans="1:6" x14ac:dyDescent="0.25">
      <c r="A13" s="135" t="s">
        <v>137</v>
      </c>
      <c r="B13">
        <v>12</v>
      </c>
      <c r="E13" s="18"/>
    </row>
    <row r="14" spans="1:6" x14ac:dyDescent="0.25">
      <c r="A14" s="21"/>
      <c r="E14" s="18"/>
    </row>
    <row r="15" spans="1:6" x14ac:dyDescent="0.25">
      <c r="A15" s="21"/>
      <c r="E15" s="18"/>
    </row>
    <row r="16" spans="1:6" x14ac:dyDescent="0.25">
      <c r="E16" s="18"/>
    </row>
    <row r="17" spans="5:5" x14ac:dyDescent="0.25">
      <c r="E1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8" sqref="J18"/>
    </sheetView>
  </sheetViews>
  <sheetFormatPr baseColWidth="10" defaultColWidth="11.42578125" defaultRowHeight="15" x14ac:dyDescent="0.25"/>
  <sheetData>
    <row r="1" spans="1:7" x14ac:dyDescent="0.25">
      <c r="A1" s="68" t="s">
        <v>165</v>
      </c>
      <c r="B1" s="69"/>
      <c r="C1" s="69"/>
      <c r="D1" s="69"/>
      <c r="E1" s="69"/>
      <c r="F1" s="69"/>
      <c r="G1" s="69"/>
    </row>
    <row r="2" spans="1:7" x14ac:dyDescent="0.25">
      <c r="A2" t="s">
        <v>166</v>
      </c>
    </row>
    <row r="4" spans="1:7" x14ac:dyDescent="0.25">
      <c r="A4" s="68" t="s">
        <v>167</v>
      </c>
      <c r="B4" s="69"/>
      <c r="C4" s="69"/>
      <c r="D4" s="69"/>
      <c r="E4" s="69"/>
      <c r="F4" s="69"/>
      <c r="G4" s="69"/>
    </row>
    <row r="5" spans="1:7" x14ac:dyDescent="0.25">
      <c r="A5" s="70" t="s">
        <v>178</v>
      </c>
    </row>
    <row r="7" spans="1:7" x14ac:dyDescent="0.25">
      <c r="A7" s="69" t="s">
        <v>168</v>
      </c>
      <c r="B7" s="69"/>
      <c r="C7" s="69"/>
      <c r="D7" s="69"/>
      <c r="E7" s="69"/>
      <c r="F7" s="69"/>
      <c r="G7" s="69"/>
    </row>
    <row r="8" spans="1:7" x14ac:dyDescent="0.25">
      <c r="A8" t="s">
        <v>169</v>
      </c>
    </row>
    <row r="9" spans="1:7" x14ac:dyDescent="0.25">
      <c r="A9" t="s">
        <v>170</v>
      </c>
      <c r="B9" s="71" t="s">
        <v>179</v>
      </c>
    </row>
    <row r="10" spans="1:7" x14ac:dyDescent="0.25">
      <c r="B10" t="s">
        <v>182</v>
      </c>
    </row>
    <row r="12" spans="1:7" x14ac:dyDescent="0.25">
      <c r="A12" t="s">
        <v>171</v>
      </c>
    </row>
    <row r="13" spans="1:7" x14ac:dyDescent="0.25">
      <c r="A13" t="s">
        <v>172</v>
      </c>
      <c r="B13" s="71" t="s">
        <v>183</v>
      </c>
    </row>
    <row r="14" spans="1:7" x14ac:dyDescent="0.25">
      <c r="B14" t="s">
        <v>173</v>
      </c>
    </row>
    <row r="16" spans="1:7" x14ac:dyDescent="0.25">
      <c r="A16" s="71" t="s">
        <v>174</v>
      </c>
    </row>
    <row r="17" spans="1:7" x14ac:dyDescent="0.25">
      <c r="A17" s="71"/>
      <c r="B17" s="71" t="s">
        <v>184</v>
      </c>
    </row>
    <row r="18" spans="1:7" x14ac:dyDescent="0.25">
      <c r="A18" s="71"/>
      <c r="B18" s="71" t="s">
        <v>175</v>
      </c>
    </row>
    <row r="19" spans="1:7" x14ac:dyDescent="0.25">
      <c r="A19" s="71"/>
      <c r="B19" s="71"/>
    </row>
    <row r="20" spans="1:7" x14ac:dyDescent="0.25">
      <c r="A20" s="69" t="s">
        <v>176</v>
      </c>
      <c r="B20" s="69"/>
      <c r="C20" s="69"/>
      <c r="D20" s="69"/>
      <c r="E20" s="69"/>
      <c r="F20" s="69"/>
      <c r="G20" s="69"/>
    </row>
    <row r="21" spans="1:7" x14ac:dyDescent="0.25">
      <c r="A21" t="s">
        <v>172</v>
      </c>
      <c r="B21" t="s">
        <v>177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9"/>
  <sheetViews>
    <sheetView zoomScale="80" zoomScaleNormal="80" workbookViewId="0">
      <selection activeCell="C17" sqref="C17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5" spans="1:9" ht="15" customHeight="1" x14ac:dyDescent="0.25">
      <c r="A5" s="166" t="s">
        <v>0</v>
      </c>
      <c r="B5" s="160" t="s">
        <v>1</v>
      </c>
      <c r="C5" s="167" t="s">
        <v>2</v>
      </c>
      <c r="D5" s="157"/>
      <c r="I5" s="1"/>
    </row>
    <row r="6" spans="1:9" ht="18.75" customHeight="1" x14ac:dyDescent="0.25">
      <c r="A6" s="166"/>
      <c r="B6" s="160"/>
      <c r="C6" s="167"/>
      <c r="D6" s="157"/>
      <c r="E6" s="2"/>
      <c r="F6" s="2"/>
    </row>
    <row r="7" spans="1:9" ht="18.75" customHeight="1" x14ac:dyDescent="0.25">
      <c r="A7" s="166"/>
      <c r="B7" s="160"/>
      <c r="C7" s="3"/>
      <c r="D7" s="3"/>
      <c r="E7" s="2"/>
      <c r="F7" s="2"/>
    </row>
    <row r="8" spans="1:9" ht="18.75" customHeight="1" x14ac:dyDescent="0.25">
      <c r="A8" s="4"/>
      <c r="B8" s="5"/>
      <c r="C8" s="3"/>
      <c r="D8" s="3"/>
      <c r="E8" s="2"/>
      <c r="F8" s="2"/>
    </row>
    <row r="9" spans="1:9" ht="18.75" customHeight="1" x14ac:dyDescent="0.25">
      <c r="A9" s="4" t="s">
        <v>3</v>
      </c>
      <c r="B9" s="158" t="s">
        <v>4</v>
      </c>
      <c r="C9" s="3" t="s">
        <v>5</v>
      </c>
      <c r="D9" s="3" t="s">
        <v>6</v>
      </c>
      <c r="E9" s="2"/>
      <c r="F9" s="2"/>
    </row>
    <row r="10" spans="1:9" x14ac:dyDescent="0.25">
      <c r="B10" s="158"/>
    </row>
    <row r="11" spans="1:9" ht="15" customHeight="1" x14ac:dyDescent="0.25">
      <c r="A11" s="159" t="s">
        <v>7</v>
      </c>
      <c r="B11" s="160" t="s">
        <v>8</v>
      </c>
      <c r="C11" s="161" t="s">
        <v>9</v>
      </c>
    </row>
    <row r="12" spans="1:9" x14ac:dyDescent="0.25">
      <c r="A12" s="159"/>
      <c r="B12" s="160"/>
      <c r="C12" s="161"/>
    </row>
    <row r="13" spans="1:9" x14ac:dyDescent="0.25">
      <c r="A13" s="6"/>
    </row>
    <row r="14" spans="1:9" x14ac:dyDescent="0.25">
      <c r="A14" s="7" t="s">
        <v>10</v>
      </c>
      <c r="B14" s="8" t="s">
        <v>11</v>
      </c>
      <c r="C14">
        <v>100</v>
      </c>
    </row>
    <row r="15" spans="1:9" x14ac:dyDescent="0.25">
      <c r="A15" s="6"/>
    </row>
    <row r="16" spans="1:9" x14ac:dyDescent="0.25">
      <c r="A16" s="7" t="s">
        <v>12</v>
      </c>
      <c r="B16" t="s">
        <v>13</v>
      </c>
      <c r="C16" t="s">
        <v>235</v>
      </c>
    </row>
    <row r="17" spans="1:14" x14ac:dyDescent="0.25"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10" t="s">
        <v>14</v>
      </c>
      <c r="B18" s="10"/>
      <c r="D18" s="11"/>
      <c r="E18" s="11"/>
      <c r="F18" s="11"/>
      <c r="G18" s="11"/>
      <c r="I18" s="11"/>
      <c r="J18" s="11"/>
      <c r="L18" s="11"/>
      <c r="M18" s="11"/>
      <c r="N18" s="11"/>
    </row>
    <row r="19" spans="1:14" ht="14.45" customHeight="1" x14ac:dyDescent="0.25">
      <c r="A19" s="162" t="s">
        <v>15</v>
      </c>
    </row>
    <row r="20" spans="1:14" ht="15" customHeight="1" x14ac:dyDescent="0.25">
      <c r="A20" s="162"/>
      <c r="B20" s="12" t="s">
        <v>16</v>
      </c>
    </row>
    <row r="21" spans="1:14" x14ac:dyDescent="0.25">
      <c r="A21" s="162"/>
    </row>
    <row r="23" spans="1:14" ht="30" x14ac:dyDescent="0.25">
      <c r="A23" s="13" t="s">
        <v>17</v>
      </c>
      <c r="B23" s="12" t="s">
        <v>18</v>
      </c>
      <c r="C23">
        <v>2.5</v>
      </c>
    </row>
    <row r="24" spans="1:14" x14ac:dyDescent="0.25">
      <c r="A24" s="14"/>
    </row>
    <row r="25" spans="1:14" ht="15" customHeight="1" x14ac:dyDescent="0.25">
      <c r="A25" s="163" t="s">
        <v>19</v>
      </c>
      <c r="B25" s="164" t="s">
        <v>20</v>
      </c>
      <c r="C25" s="165">
        <v>14</v>
      </c>
    </row>
    <row r="26" spans="1:14" x14ac:dyDescent="0.25">
      <c r="A26" s="163"/>
      <c r="B26" s="164"/>
      <c r="C26" s="165"/>
    </row>
    <row r="27" spans="1:14" x14ac:dyDescent="0.25">
      <c r="A27" s="163"/>
      <c r="B27" s="164"/>
      <c r="C27" s="165"/>
    </row>
    <row r="28" spans="1:14" x14ac:dyDescent="0.25">
      <c r="A28" s="14"/>
      <c r="B28" s="15"/>
      <c r="C28" s="16"/>
    </row>
    <row r="29" spans="1:14" ht="30" x14ac:dyDescent="0.25">
      <c r="A29" s="13" t="s">
        <v>21</v>
      </c>
      <c r="B29" t="s">
        <v>22</v>
      </c>
      <c r="C29" t="s">
        <v>23</v>
      </c>
    </row>
    <row r="30" spans="1:14" x14ac:dyDescent="0.25">
      <c r="A30" s="14"/>
    </row>
    <row r="31" spans="1:14" x14ac:dyDescent="0.25">
      <c r="A31" s="17" t="s">
        <v>24</v>
      </c>
      <c r="B31" t="s">
        <v>25</v>
      </c>
      <c r="C31" t="s">
        <v>26</v>
      </c>
    </row>
    <row r="32" spans="1:14" x14ac:dyDescent="0.25">
      <c r="A32" s="14"/>
    </row>
    <row r="33" spans="1:3" ht="30" x14ac:dyDescent="0.25">
      <c r="A33" s="13" t="s">
        <v>27</v>
      </c>
      <c r="B33" t="s">
        <v>28</v>
      </c>
      <c r="C33" s="18">
        <v>1.4999999999999999E-2</v>
      </c>
    </row>
    <row r="34" spans="1:3" x14ac:dyDescent="0.25">
      <c r="A34" s="13"/>
    </row>
    <row r="35" spans="1:3" ht="45" x14ac:dyDescent="0.25">
      <c r="A35" s="13" t="s">
        <v>29</v>
      </c>
      <c r="B35" s="11" t="s">
        <v>30</v>
      </c>
      <c r="C35" t="s">
        <v>31</v>
      </c>
    </row>
    <row r="36" spans="1:3" x14ac:dyDescent="0.25">
      <c r="A36" s="19"/>
    </row>
    <row r="37" spans="1:3" ht="30" x14ac:dyDescent="0.25">
      <c r="A37" s="19" t="s">
        <v>32</v>
      </c>
      <c r="B37" t="s">
        <v>33</v>
      </c>
      <c r="C37" s="20" t="s">
        <v>34</v>
      </c>
    </row>
    <row r="38" spans="1:3" x14ac:dyDescent="0.25">
      <c r="A38" s="19"/>
      <c r="C38" s="20"/>
    </row>
    <row r="39" spans="1:3" ht="30" x14ac:dyDescent="0.25">
      <c r="A39" s="19" t="s">
        <v>35</v>
      </c>
      <c r="B39" s="21" t="s">
        <v>36</v>
      </c>
      <c r="C39" s="20" t="s">
        <v>37</v>
      </c>
    </row>
  </sheetData>
  <mergeCells count="12">
    <mergeCell ref="A19:A21"/>
    <mergeCell ref="A25:A27"/>
    <mergeCell ref="B25:B27"/>
    <mergeCell ref="C25:C27"/>
    <mergeCell ref="A5:A7"/>
    <mergeCell ref="B5:B7"/>
    <mergeCell ref="C5:C6"/>
    <mergeCell ref="D5:D6"/>
    <mergeCell ref="B9:B10"/>
    <mergeCell ref="A11:A12"/>
    <mergeCell ref="B11:B12"/>
    <mergeCell ref="C11:C12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67"/>
  <sheetViews>
    <sheetView zoomScale="60" zoomScaleNormal="60" workbookViewId="0">
      <pane xSplit="3" topLeftCell="D1" activePane="topRight" state="frozen"/>
      <selection pane="topRight" activeCell="L25" sqref="L25"/>
    </sheetView>
  </sheetViews>
  <sheetFormatPr baseColWidth="10" defaultColWidth="11.42578125" defaultRowHeight="15" x14ac:dyDescent="0.25"/>
  <cols>
    <col min="2" max="2" width="25.5703125" customWidth="1"/>
    <col min="3" max="3" width="44.28515625" customWidth="1"/>
    <col min="4" max="4" width="21.7109375" bestFit="1" customWidth="1"/>
    <col min="5" max="5" width="35" bestFit="1" customWidth="1"/>
    <col min="8" max="8" width="25.85546875" bestFit="1" customWidth="1"/>
    <col min="9" max="9" width="22.140625" customWidth="1"/>
    <col min="10" max="10" width="1.7109375" style="24" customWidth="1"/>
    <col min="11" max="11" width="26.5703125" bestFit="1" customWidth="1"/>
    <col min="12" max="12" width="35" bestFit="1" customWidth="1"/>
    <col min="13" max="14" width="9.28515625" customWidth="1"/>
    <col min="15" max="15" width="25.85546875" bestFit="1" customWidth="1"/>
    <col min="16" max="16" width="28.140625" bestFit="1" customWidth="1"/>
    <col min="17" max="17" width="1.7109375" style="24" customWidth="1"/>
    <col min="18" max="18" width="19" customWidth="1"/>
    <col min="19" max="19" width="16.140625" customWidth="1"/>
    <col min="20" max="20" width="15.5703125" customWidth="1"/>
    <col min="22" max="22" width="22" customWidth="1"/>
    <col min="23" max="23" width="29.28515625" bestFit="1" customWidth="1"/>
    <col min="24" max="24" width="1.7109375" style="23" customWidth="1"/>
  </cols>
  <sheetData>
    <row r="6" spans="1:24" ht="15.75" thickBot="1" x14ac:dyDescent="0.3">
      <c r="A6" s="22"/>
      <c r="B6" s="22"/>
      <c r="C6" s="22"/>
    </row>
    <row r="7" spans="1:24" ht="15.75" thickBot="1" x14ac:dyDescent="0.3">
      <c r="A7" s="25"/>
      <c r="B7" s="26" t="s">
        <v>38</v>
      </c>
      <c r="C7" s="26" t="s">
        <v>39</v>
      </c>
      <c r="D7" s="168" t="s">
        <v>40</v>
      </c>
      <c r="E7" s="169"/>
      <c r="F7" s="169"/>
      <c r="G7" s="169"/>
      <c r="H7" s="169"/>
      <c r="I7" s="169"/>
      <c r="J7" s="27"/>
      <c r="K7" s="168" t="s">
        <v>41</v>
      </c>
      <c r="L7" s="169"/>
      <c r="M7" s="169"/>
      <c r="N7" s="169"/>
      <c r="O7" s="169"/>
      <c r="P7" s="169"/>
      <c r="Q7" s="27"/>
      <c r="R7" s="168" t="s">
        <v>42</v>
      </c>
      <c r="S7" s="169"/>
      <c r="T7" s="169"/>
      <c r="U7" s="169"/>
      <c r="V7" s="169"/>
      <c r="W7" s="169"/>
      <c r="X7" s="28"/>
    </row>
    <row r="8" spans="1:24" ht="15" customHeight="1" x14ac:dyDescent="0.25">
      <c r="A8" s="173" t="s">
        <v>44</v>
      </c>
      <c r="B8" s="176" t="s">
        <v>45</v>
      </c>
      <c r="C8" s="29" t="s">
        <v>46</v>
      </c>
      <c r="D8" s="179" t="s">
        <v>47</v>
      </c>
      <c r="E8" s="180"/>
      <c r="F8" s="180"/>
      <c r="G8" s="180"/>
      <c r="H8" s="180"/>
      <c r="I8" s="180"/>
      <c r="J8" s="72"/>
      <c r="K8" s="179" t="s">
        <v>48</v>
      </c>
      <c r="L8" s="180"/>
      <c r="M8" s="180"/>
      <c r="N8" s="180"/>
      <c r="O8" s="180"/>
      <c r="P8" s="180"/>
      <c r="Q8" s="72"/>
      <c r="R8" s="179" t="s">
        <v>49</v>
      </c>
      <c r="S8" s="180"/>
      <c r="T8" s="180"/>
      <c r="U8" s="180"/>
      <c r="V8" s="180"/>
      <c r="W8" s="180"/>
    </row>
    <row r="9" spans="1:24" x14ac:dyDescent="0.25">
      <c r="A9" s="174"/>
      <c r="B9" s="177"/>
      <c r="C9" s="31" t="s">
        <v>50</v>
      </c>
      <c r="D9" s="171" t="s">
        <v>51</v>
      </c>
      <c r="E9" s="172"/>
      <c r="F9" s="172"/>
      <c r="G9" s="172"/>
      <c r="H9" s="172"/>
      <c r="I9" s="172"/>
      <c r="J9" s="72"/>
      <c r="K9" s="171" t="s">
        <v>51</v>
      </c>
      <c r="L9" s="172"/>
      <c r="M9" s="172"/>
      <c r="N9" s="172"/>
      <c r="O9" s="172"/>
      <c r="P9" s="172"/>
      <c r="Q9" s="72"/>
      <c r="R9" s="171" t="s">
        <v>51</v>
      </c>
      <c r="S9" s="172"/>
      <c r="T9" s="172"/>
      <c r="U9" s="172"/>
      <c r="V9" s="172"/>
      <c r="W9" s="172"/>
    </row>
    <row r="10" spans="1:24" x14ac:dyDescent="0.25">
      <c r="A10" s="174"/>
      <c r="B10" s="177"/>
      <c r="C10" s="31" t="s">
        <v>52</v>
      </c>
      <c r="D10" s="170" t="s">
        <v>53</v>
      </c>
      <c r="E10" s="170"/>
      <c r="F10" s="170"/>
      <c r="G10" s="170"/>
      <c r="H10" s="170"/>
      <c r="I10" s="170"/>
      <c r="J10" s="73"/>
      <c r="K10" s="170" t="s">
        <v>53</v>
      </c>
      <c r="L10" s="170"/>
      <c r="M10" s="170"/>
      <c r="N10" s="170"/>
      <c r="O10" s="170"/>
      <c r="P10" s="170"/>
      <c r="Q10" s="73"/>
      <c r="R10" s="170" t="s">
        <v>53</v>
      </c>
      <c r="S10" s="170"/>
      <c r="T10" s="170"/>
      <c r="U10" s="170"/>
      <c r="V10" s="170"/>
      <c r="W10" s="170"/>
      <c r="X10" s="32"/>
    </row>
    <row r="11" spans="1:24" ht="15.75" thickBot="1" x14ac:dyDescent="0.3">
      <c r="A11" s="175"/>
      <c r="B11" s="178"/>
      <c r="C11" s="33" t="s">
        <v>54</v>
      </c>
      <c r="D11" s="189"/>
      <c r="E11" s="190"/>
      <c r="F11" s="190"/>
      <c r="G11" s="190"/>
      <c r="H11" s="190"/>
      <c r="I11" s="191"/>
      <c r="J11" s="74"/>
      <c r="K11" s="189"/>
      <c r="L11" s="190"/>
      <c r="M11" s="190"/>
      <c r="N11" s="190"/>
      <c r="O11" s="190"/>
      <c r="P11" s="191"/>
      <c r="Q11" s="74"/>
      <c r="R11" s="189"/>
      <c r="S11" s="190"/>
      <c r="T11" s="190"/>
      <c r="U11" s="190"/>
      <c r="V11" s="190"/>
      <c r="W11" s="191"/>
      <c r="X11" s="34"/>
    </row>
    <row r="12" spans="1:24" ht="15.75" thickBot="1" x14ac:dyDescent="0.3">
      <c r="A12" s="35"/>
      <c r="B12" s="36"/>
      <c r="C12" s="37"/>
      <c r="D12" s="181"/>
      <c r="E12" s="182"/>
      <c r="F12" s="182"/>
      <c r="G12" s="182"/>
      <c r="H12" s="182"/>
      <c r="I12" s="182"/>
      <c r="J12" s="75"/>
      <c r="K12" s="181"/>
      <c r="L12" s="182"/>
      <c r="M12" s="182"/>
      <c r="N12" s="182"/>
      <c r="O12" s="182"/>
      <c r="P12" s="182"/>
      <c r="Q12" s="75"/>
      <c r="R12" s="181"/>
      <c r="S12" s="182"/>
      <c r="T12" s="182"/>
      <c r="U12" s="182"/>
      <c r="V12" s="182"/>
      <c r="W12" s="182"/>
    </row>
    <row r="13" spans="1:24" ht="15" customHeight="1" x14ac:dyDescent="0.25">
      <c r="A13" s="185" t="s">
        <v>55</v>
      </c>
      <c r="B13" s="186" t="s">
        <v>56</v>
      </c>
      <c r="C13" s="58" t="s">
        <v>57</v>
      </c>
      <c r="D13" s="197" t="s">
        <v>162</v>
      </c>
      <c r="E13" s="198"/>
      <c r="F13" s="198"/>
      <c r="G13" s="198"/>
      <c r="H13" s="198"/>
      <c r="I13" s="198"/>
      <c r="J13" s="72"/>
      <c r="K13" s="197" t="s">
        <v>185</v>
      </c>
      <c r="L13" s="198"/>
      <c r="M13" s="198"/>
      <c r="N13" s="198"/>
      <c r="O13" s="198"/>
      <c r="P13" s="198"/>
      <c r="Q13" s="72"/>
      <c r="R13" s="197" t="s">
        <v>186</v>
      </c>
      <c r="S13" s="198"/>
      <c r="T13" s="198"/>
      <c r="U13" s="198"/>
      <c r="V13" s="198"/>
      <c r="W13" s="198"/>
    </row>
    <row r="14" spans="1:24" x14ac:dyDescent="0.25">
      <c r="A14" s="185"/>
      <c r="B14" s="186"/>
      <c r="C14" s="59" t="s">
        <v>58</v>
      </c>
      <c r="D14" s="204" t="s">
        <v>187</v>
      </c>
      <c r="E14" s="205"/>
      <c r="F14" s="205"/>
      <c r="G14" s="205"/>
      <c r="H14" s="205"/>
      <c r="I14" s="206"/>
      <c r="J14" s="72"/>
      <c r="K14" s="183" t="s">
        <v>188</v>
      </c>
      <c r="L14" s="184"/>
      <c r="M14" s="184"/>
      <c r="N14" s="184"/>
      <c r="O14" s="184"/>
      <c r="P14" s="184"/>
      <c r="Q14" s="72"/>
      <c r="R14" s="183" t="s">
        <v>189</v>
      </c>
      <c r="S14" s="184"/>
      <c r="T14" s="184"/>
      <c r="U14" s="184"/>
      <c r="V14" s="184"/>
      <c r="W14" s="184"/>
    </row>
    <row r="15" spans="1:24" ht="15.75" thickBot="1" x14ac:dyDescent="0.3">
      <c r="A15" s="185"/>
      <c r="B15" s="186"/>
      <c r="C15" s="60" t="s">
        <v>59</v>
      </c>
      <c r="D15" s="207" t="s">
        <v>190</v>
      </c>
      <c r="E15" s="208"/>
      <c r="F15" s="208"/>
      <c r="G15" s="208"/>
      <c r="H15" s="208"/>
      <c r="I15" s="209"/>
      <c r="J15" s="73"/>
      <c r="K15" s="187"/>
      <c r="L15" s="188"/>
      <c r="M15" s="188"/>
      <c r="N15" s="188"/>
      <c r="O15" s="188"/>
      <c r="P15" s="188"/>
      <c r="Q15" s="73"/>
      <c r="R15" s="187"/>
      <c r="S15" s="188"/>
      <c r="T15" s="188"/>
      <c r="U15" s="188"/>
      <c r="V15" s="188"/>
      <c r="W15" s="188"/>
    </row>
    <row r="16" spans="1:24" ht="15.75" thickBot="1" x14ac:dyDescent="0.3">
      <c r="A16" s="38"/>
      <c r="B16" s="39"/>
      <c r="C16" s="39"/>
      <c r="D16" s="181"/>
      <c r="E16" s="182"/>
      <c r="F16" s="182"/>
      <c r="G16" s="182"/>
      <c r="H16" s="182"/>
      <c r="I16" s="182"/>
      <c r="J16" s="72"/>
      <c r="K16" s="181"/>
      <c r="L16" s="182"/>
      <c r="M16" s="182"/>
      <c r="N16" s="182"/>
      <c r="O16" s="182"/>
      <c r="P16" s="182"/>
      <c r="Q16" s="75"/>
      <c r="R16" s="181"/>
      <c r="S16" s="182"/>
      <c r="T16" s="182"/>
      <c r="U16" s="182"/>
      <c r="V16" s="182"/>
      <c r="W16" s="182"/>
    </row>
    <row r="17" spans="1:23" x14ac:dyDescent="0.25">
      <c r="A17" s="210" t="s">
        <v>60</v>
      </c>
      <c r="B17" s="213" t="s">
        <v>61</v>
      </c>
      <c r="C17" s="62" t="s">
        <v>62</v>
      </c>
      <c r="D17" s="216" t="s">
        <v>63</v>
      </c>
      <c r="E17" s="217"/>
      <c r="F17" s="217"/>
      <c r="G17" s="217"/>
      <c r="H17" s="217"/>
      <c r="I17" s="217"/>
      <c r="J17" s="72"/>
      <c r="K17" s="218" t="s">
        <v>64</v>
      </c>
      <c r="L17" s="219"/>
      <c r="M17" s="219"/>
      <c r="N17" s="219"/>
      <c r="O17" s="219"/>
      <c r="P17" s="220"/>
      <c r="Q17" s="75"/>
      <c r="R17" s="216" t="s">
        <v>65</v>
      </c>
      <c r="S17" s="217"/>
      <c r="T17" s="217"/>
      <c r="U17" s="217"/>
      <c r="V17" s="217"/>
      <c r="W17" s="217"/>
    </row>
    <row r="18" spans="1:23" x14ac:dyDescent="0.25">
      <c r="A18" s="211"/>
      <c r="B18" s="214"/>
      <c r="C18" s="63" t="s">
        <v>66</v>
      </c>
      <c r="D18" s="199">
        <v>260</v>
      </c>
      <c r="E18" s="200"/>
      <c r="F18" s="200"/>
      <c r="G18" s="200"/>
      <c r="H18" s="200"/>
      <c r="I18" s="200"/>
      <c r="J18" s="72"/>
      <c r="K18" s="201">
        <v>18</v>
      </c>
      <c r="L18" s="202"/>
      <c r="M18" s="202"/>
      <c r="N18" s="202"/>
      <c r="O18" s="202"/>
      <c r="P18" s="203"/>
      <c r="Q18" s="75"/>
      <c r="R18" s="199">
        <v>8</v>
      </c>
      <c r="S18" s="200"/>
      <c r="T18" s="200"/>
      <c r="U18" s="200"/>
      <c r="V18" s="200"/>
      <c r="W18" s="200"/>
    </row>
    <row r="19" spans="1:23" ht="15.75" thickBot="1" x14ac:dyDescent="0.3">
      <c r="A19" s="212"/>
      <c r="B19" s="215"/>
      <c r="C19" s="64" t="s">
        <v>67</v>
      </c>
      <c r="D19" s="192" t="s">
        <v>190</v>
      </c>
      <c r="E19" s="193"/>
      <c r="F19" s="193"/>
      <c r="G19" s="193"/>
      <c r="H19" s="193"/>
      <c r="I19" s="193"/>
      <c r="J19" s="73"/>
      <c r="K19" s="194" t="s">
        <v>191</v>
      </c>
      <c r="L19" s="195"/>
      <c r="M19" s="195"/>
      <c r="N19" s="195"/>
      <c r="O19" s="195"/>
      <c r="P19" s="196"/>
      <c r="Q19" s="75"/>
      <c r="R19" s="192" t="s">
        <v>192</v>
      </c>
      <c r="S19" s="193"/>
      <c r="T19" s="193"/>
      <c r="U19" s="193"/>
      <c r="V19" s="193"/>
      <c r="W19" s="193"/>
    </row>
    <row r="20" spans="1:23" ht="15.75" thickBot="1" x14ac:dyDescent="0.3">
      <c r="A20" s="38"/>
      <c r="B20" s="39"/>
      <c r="C20" s="39"/>
      <c r="D20" s="181"/>
      <c r="E20" s="182"/>
      <c r="F20" s="182"/>
      <c r="G20" s="182"/>
      <c r="H20" s="182"/>
      <c r="I20" s="182"/>
      <c r="J20" s="75"/>
      <c r="K20" s="181"/>
      <c r="L20" s="182"/>
      <c r="M20" s="182"/>
      <c r="N20" s="182"/>
      <c r="O20" s="182"/>
      <c r="P20" s="182"/>
      <c r="Q20" s="75"/>
      <c r="R20" s="181"/>
      <c r="S20" s="182"/>
      <c r="T20" s="182"/>
      <c r="U20" s="182"/>
      <c r="V20" s="182"/>
      <c r="W20" s="182"/>
    </row>
    <row r="21" spans="1:23" ht="15.75" thickBot="1" x14ac:dyDescent="0.3">
      <c r="A21" s="221" t="s">
        <v>68</v>
      </c>
      <c r="B21" s="224" t="s">
        <v>69</v>
      </c>
      <c r="C21" s="40" t="s">
        <v>70</v>
      </c>
      <c r="D21" s="76" t="s">
        <v>71</v>
      </c>
      <c r="E21" s="77" t="s">
        <v>75</v>
      </c>
      <c r="F21" s="227" t="s">
        <v>72</v>
      </c>
      <c r="G21" s="228"/>
      <c r="H21" s="78" t="s">
        <v>73</v>
      </c>
      <c r="I21" s="79" t="s">
        <v>74</v>
      </c>
      <c r="J21" s="75"/>
      <c r="K21" s="76" t="s">
        <v>71</v>
      </c>
      <c r="L21" s="77" t="s">
        <v>75</v>
      </c>
      <c r="M21" s="227" t="s">
        <v>72</v>
      </c>
      <c r="N21" s="228"/>
      <c r="O21" s="78" t="s">
        <v>73</v>
      </c>
      <c r="P21" s="78" t="s">
        <v>74</v>
      </c>
      <c r="Q21" s="75"/>
      <c r="R21" s="76" t="s">
        <v>71</v>
      </c>
      <c r="S21" s="77" t="s">
        <v>75</v>
      </c>
      <c r="T21" s="227" t="s">
        <v>72</v>
      </c>
      <c r="U21" s="228"/>
      <c r="V21" s="78" t="s">
        <v>73</v>
      </c>
      <c r="W21" s="78" t="s">
        <v>74</v>
      </c>
    </row>
    <row r="22" spans="1:23" ht="15" customHeight="1" x14ac:dyDescent="0.35">
      <c r="A22" s="222"/>
      <c r="B22" s="225"/>
      <c r="C22" s="41" t="s">
        <v>76</v>
      </c>
      <c r="D22" s="80" t="s">
        <v>193</v>
      </c>
      <c r="E22" s="81">
        <v>0.34</v>
      </c>
      <c r="F22" s="232" t="s">
        <v>77</v>
      </c>
      <c r="G22" s="233"/>
      <c r="H22" s="82">
        <f>140*100/34</f>
        <v>411.76470588235293</v>
      </c>
      <c r="I22" s="83" t="s">
        <v>194</v>
      </c>
      <c r="J22" s="75"/>
      <c r="K22" s="84" t="s">
        <v>195</v>
      </c>
      <c r="L22" s="81">
        <v>0.34</v>
      </c>
      <c r="M22" s="232"/>
      <c r="N22" s="233"/>
      <c r="O22" s="82">
        <f>160*100/34</f>
        <v>470.58823529411762</v>
      </c>
      <c r="P22" s="83" t="s">
        <v>196</v>
      </c>
      <c r="Q22" s="75"/>
      <c r="R22" s="80" t="s">
        <v>78</v>
      </c>
      <c r="S22" s="85">
        <v>0.46</v>
      </c>
      <c r="T22" s="234" t="s">
        <v>158</v>
      </c>
      <c r="U22" s="235"/>
      <c r="V22" s="82">
        <f>120*100/46</f>
        <v>260.86956521739131</v>
      </c>
      <c r="W22" s="83" t="s">
        <v>197</v>
      </c>
    </row>
    <row r="23" spans="1:23" x14ac:dyDescent="0.25">
      <c r="A23" s="222"/>
      <c r="B23" s="225"/>
      <c r="C23" s="42" t="s">
        <v>79</v>
      </c>
      <c r="D23" s="80"/>
      <c r="E23" s="86"/>
      <c r="F23" s="229"/>
      <c r="G23" s="230"/>
      <c r="H23" s="87"/>
      <c r="I23" s="87"/>
      <c r="J23" s="75"/>
      <c r="K23" s="84" t="s">
        <v>80</v>
      </c>
      <c r="L23" s="86">
        <v>0.46</v>
      </c>
      <c r="M23" s="229"/>
      <c r="N23" s="230"/>
      <c r="O23" s="82">
        <f>120*100/46</f>
        <v>260.86956521739131</v>
      </c>
      <c r="P23" s="88" t="s">
        <v>198</v>
      </c>
      <c r="Q23" s="75"/>
      <c r="R23" s="80"/>
      <c r="S23" s="89"/>
      <c r="T23" s="231"/>
      <c r="U23" s="230"/>
      <c r="V23" s="87"/>
      <c r="W23" s="87"/>
    </row>
    <row r="24" spans="1:23" ht="18" x14ac:dyDescent="0.35">
      <c r="A24" s="222"/>
      <c r="B24" s="225"/>
      <c r="C24" s="42" t="s">
        <v>81</v>
      </c>
      <c r="D24" s="80"/>
      <c r="E24" s="87"/>
      <c r="F24" s="229"/>
      <c r="G24" s="230"/>
      <c r="H24" s="87"/>
      <c r="I24" s="87"/>
      <c r="J24" s="75"/>
      <c r="K24" s="84" t="s">
        <v>199</v>
      </c>
      <c r="L24" s="86">
        <v>0.5</v>
      </c>
      <c r="M24" s="229"/>
      <c r="N24" s="230"/>
      <c r="O24" s="82">
        <f>80*100/50</f>
        <v>160</v>
      </c>
      <c r="P24" s="88" t="s">
        <v>198</v>
      </c>
      <c r="Q24" s="75"/>
      <c r="R24" s="80"/>
      <c r="S24" s="87"/>
      <c r="T24" s="229"/>
      <c r="U24" s="230"/>
      <c r="V24" s="87"/>
      <c r="W24" s="87"/>
    </row>
    <row r="25" spans="1:23" ht="18" x14ac:dyDescent="0.35">
      <c r="A25" s="222"/>
      <c r="B25" s="225"/>
      <c r="C25" s="42" t="s">
        <v>82</v>
      </c>
      <c r="D25" s="80"/>
      <c r="E25" s="87"/>
      <c r="F25" s="229"/>
      <c r="G25" s="230"/>
      <c r="H25" s="87"/>
      <c r="I25" s="87"/>
      <c r="J25" s="75"/>
      <c r="K25" s="84"/>
      <c r="L25" s="87"/>
      <c r="M25" s="229"/>
      <c r="N25" s="230"/>
      <c r="O25" s="87"/>
      <c r="P25" s="87"/>
      <c r="Q25" s="75"/>
      <c r="R25" s="89" t="s">
        <v>200</v>
      </c>
      <c r="S25" s="89"/>
      <c r="T25" s="231" t="s">
        <v>159</v>
      </c>
      <c r="U25" s="230"/>
      <c r="V25" s="87" t="s">
        <v>163</v>
      </c>
      <c r="W25" s="87" t="s">
        <v>201</v>
      </c>
    </row>
    <row r="26" spans="1:23" x14ac:dyDescent="0.25">
      <c r="A26" s="222"/>
      <c r="B26" s="225"/>
      <c r="C26" s="42" t="s">
        <v>84</v>
      </c>
      <c r="D26" s="80"/>
      <c r="E26" s="87"/>
      <c r="F26" s="229"/>
      <c r="G26" s="230"/>
      <c r="H26" s="87"/>
      <c r="I26" s="87"/>
      <c r="J26" s="75"/>
      <c r="K26" s="84"/>
      <c r="L26" s="90"/>
      <c r="M26" s="229"/>
      <c r="N26" s="230"/>
      <c r="O26" s="87"/>
      <c r="P26" s="87"/>
      <c r="Q26" s="75"/>
      <c r="R26" s="80"/>
      <c r="S26" s="87"/>
      <c r="T26" s="229"/>
      <c r="U26" s="230"/>
      <c r="V26" s="87"/>
      <c r="W26" s="87"/>
    </row>
    <row r="27" spans="1:23" x14ac:dyDescent="0.25">
      <c r="A27" s="222"/>
      <c r="B27" s="225"/>
      <c r="C27" s="42" t="s">
        <v>85</v>
      </c>
      <c r="D27" s="80"/>
      <c r="E27" s="87"/>
      <c r="F27" s="229"/>
      <c r="G27" s="230"/>
      <c r="H27" s="87"/>
      <c r="I27" s="87"/>
      <c r="J27" s="75"/>
      <c r="K27" s="80"/>
      <c r="L27" s="87"/>
      <c r="M27" s="229"/>
      <c r="N27" s="230"/>
      <c r="O27" s="87"/>
      <c r="P27" s="87"/>
      <c r="Q27" s="75"/>
      <c r="R27" s="80"/>
      <c r="S27" s="87"/>
      <c r="T27" s="229"/>
      <c r="U27" s="230"/>
      <c r="V27" s="87"/>
      <c r="W27" s="87"/>
    </row>
    <row r="28" spans="1:23" ht="15.75" thickBot="1" x14ac:dyDescent="0.3">
      <c r="A28" s="222"/>
      <c r="B28" s="225"/>
      <c r="C28" s="43" t="s">
        <v>86</v>
      </c>
      <c r="D28" s="91"/>
      <c r="E28" s="92"/>
      <c r="F28" s="236"/>
      <c r="G28" s="237"/>
      <c r="H28" s="92"/>
      <c r="I28" s="92"/>
      <c r="J28" s="75"/>
      <c r="K28" s="91" t="s">
        <v>87</v>
      </c>
      <c r="L28" s="93">
        <v>0.3</v>
      </c>
      <c r="M28" s="236"/>
      <c r="N28" s="237"/>
      <c r="O28" s="92">
        <f>0.3*1.3*10</f>
        <v>3.9000000000000004</v>
      </c>
      <c r="P28" s="92" t="s">
        <v>202</v>
      </c>
      <c r="Q28" s="75"/>
      <c r="R28" s="91"/>
      <c r="S28" s="92"/>
      <c r="T28" s="236"/>
      <c r="U28" s="237"/>
      <c r="V28" s="92"/>
      <c r="W28" s="92"/>
    </row>
    <row r="29" spans="1:23" ht="18" thickBot="1" x14ac:dyDescent="0.3">
      <c r="A29" s="222"/>
      <c r="B29" s="225"/>
      <c r="C29" s="40" t="s">
        <v>89</v>
      </c>
      <c r="D29" s="76" t="s">
        <v>71</v>
      </c>
      <c r="E29" s="78" t="s">
        <v>90</v>
      </c>
      <c r="F29" s="227" t="s">
        <v>72</v>
      </c>
      <c r="G29" s="228"/>
      <c r="H29" s="78" t="s">
        <v>203</v>
      </c>
      <c r="I29" s="78" t="s">
        <v>74</v>
      </c>
      <c r="J29" s="75"/>
      <c r="K29" s="76" t="s">
        <v>71</v>
      </c>
      <c r="L29" s="78" t="s">
        <v>90</v>
      </c>
      <c r="M29" s="227" t="s">
        <v>72</v>
      </c>
      <c r="N29" s="228"/>
      <c r="O29" s="78" t="s">
        <v>203</v>
      </c>
      <c r="P29" s="78" t="s">
        <v>74</v>
      </c>
      <c r="Q29" s="75"/>
      <c r="R29" s="76" t="s">
        <v>71</v>
      </c>
      <c r="S29" s="78" t="s">
        <v>90</v>
      </c>
      <c r="T29" s="227" t="s">
        <v>72</v>
      </c>
      <c r="U29" s="228"/>
      <c r="V29" s="78" t="s">
        <v>203</v>
      </c>
      <c r="W29" s="78" t="s">
        <v>74</v>
      </c>
    </row>
    <row r="30" spans="1:23" x14ac:dyDescent="0.25">
      <c r="A30" s="222"/>
      <c r="B30" s="225"/>
      <c r="C30" s="41" t="s">
        <v>91</v>
      </c>
      <c r="D30" s="89"/>
      <c r="E30" s="83"/>
      <c r="F30" s="232"/>
      <c r="G30" s="233"/>
      <c r="H30" s="83"/>
      <c r="I30" s="83"/>
      <c r="J30" s="75"/>
      <c r="K30" s="89"/>
      <c r="L30" s="83"/>
      <c r="M30" s="232"/>
      <c r="N30" s="233"/>
      <c r="O30" s="83"/>
      <c r="P30" s="83"/>
      <c r="Q30" s="75"/>
      <c r="R30" s="89"/>
      <c r="S30" s="83"/>
      <c r="T30" s="232"/>
      <c r="U30" s="233"/>
      <c r="V30" s="83"/>
      <c r="W30" s="83"/>
    </row>
    <row r="31" spans="1:23" ht="15.75" thickBot="1" x14ac:dyDescent="0.3">
      <c r="A31" s="223"/>
      <c r="B31" s="226"/>
      <c r="C31" s="44" t="s">
        <v>93</v>
      </c>
      <c r="D31" s="94"/>
      <c r="E31" s="95"/>
      <c r="F31" s="238"/>
      <c r="G31" s="239"/>
      <c r="H31" s="95"/>
      <c r="I31" s="95"/>
      <c r="J31" s="75"/>
      <c r="K31" s="94"/>
      <c r="L31" s="95"/>
      <c r="M31" s="238"/>
      <c r="N31" s="239"/>
      <c r="O31" s="95"/>
      <c r="P31" s="95"/>
      <c r="Q31" s="75"/>
      <c r="R31" s="94"/>
      <c r="S31" s="95"/>
      <c r="T31" s="238"/>
      <c r="U31" s="239"/>
      <c r="V31" s="95"/>
      <c r="W31" s="95"/>
    </row>
    <row r="32" spans="1:23" ht="15.75" thickBot="1" x14ac:dyDescent="0.3">
      <c r="A32" s="45"/>
      <c r="B32" s="39"/>
      <c r="C32" s="39"/>
      <c r="D32" s="181"/>
      <c r="E32" s="182"/>
      <c r="F32" s="182"/>
      <c r="G32" s="182"/>
      <c r="H32" s="182"/>
      <c r="I32" s="182"/>
      <c r="J32" s="75"/>
      <c r="K32" s="181"/>
      <c r="L32" s="182"/>
      <c r="M32" s="182"/>
      <c r="N32" s="182"/>
      <c r="O32" s="182"/>
      <c r="P32" s="182"/>
      <c r="Q32" s="75"/>
      <c r="R32" s="181"/>
      <c r="S32" s="182"/>
      <c r="T32" s="182"/>
      <c r="U32" s="182"/>
      <c r="V32" s="182"/>
      <c r="W32" s="182"/>
    </row>
    <row r="33" spans="1:24" ht="60" customHeight="1" thickBot="1" x14ac:dyDescent="0.3">
      <c r="A33" s="244" t="s">
        <v>94</v>
      </c>
      <c r="B33" s="224" t="s">
        <v>95</v>
      </c>
      <c r="C33" s="40"/>
      <c r="D33" s="96" t="s">
        <v>71</v>
      </c>
      <c r="E33" s="78" t="s">
        <v>72</v>
      </c>
      <c r="F33" s="227" t="s">
        <v>96</v>
      </c>
      <c r="G33" s="228"/>
      <c r="H33" s="247" t="s">
        <v>74</v>
      </c>
      <c r="I33" s="248"/>
      <c r="J33" s="75"/>
      <c r="K33" s="96" t="s">
        <v>71</v>
      </c>
      <c r="L33" s="78" t="s">
        <v>72</v>
      </c>
      <c r="M33" s="227" t="s">
        <v>96</v>
      </c>
      <c r="N33" s="228"/>
      <c r="O33" s="243" t="s">
        <v>74</v>
      </c>
      <c r="P33" s="243"/>
      <c r="Q33" s="75"/>
      <c r="R33" s="96" t="s">
        <v>71</v>
      </c>
      <c r="S33" s="78" t="s">
        <v>72</v>
      </c>
      <c r="T33" s="227" t="s">
        <v>96</v>
      </c>
      <c r="U33" s="228"/>
      <c r="V33" s="243" t="s">
        <v>74</v>
      </c>
      <c r="W33" s="243"/>
    </row>
    <row r="34" spans="1:24" ht="17.25" customHeight="1" x14ac:dyDescent="0.25">
      <c r="A34" s="245"/>
      <c r="B34" s="225"/>
      <c r="C34" s="41" t="s">
        <v>97</v>
      </c>
      <c r="D34" s="97" t="s">
        <v>99</v>
      </c>
      <c r="E34" s="83"/>
      <c r="F34" s="232">
        <v>0.03</v>
      </c>
      <c r="G34" s="233"/>
      <c r="H34" s="240" t="s">
        <v>204</v>
      </c>
      <c r="I34" s="240"/>
      <c r="J34" s="75"/>
      <c r="K34" s="97" t="s">
        <v>100</v>
      </c>
      <c r="L34" s="83" t="s">
        <v>101</v>
      </c>
      <c r="M34" s="232">
        <v>2.5</v>
      </c>
      <c r="N34" s="233"/>
      <c r="O34" s="240" t="s">
        <v>205</v>
      </c>
      <c r="P34" s="240"/>
      <c r="Q34" s="75"/>
      <c r="R34" s="241" t="s">
        <v>102</v>
      </c>
      <c r="S34" s="242"/>
      <c r="T34" s="232">
        <v>1</v>
      </c>
      <c r="U34" s="233"/>
      <c r="V34" s="240" t="s">
        <v>206</v>
      </c>
      <c r="W34" s="240"/>
    </row>
    <row r="35" spans="1:24" ht="17.25" customHeight="1" x14ac:dyDescent="0.25">
      <c r="A35" s="245"/>
      <c r="B35" s="225"/>
      <c r="C35" s="42" t="s">
        <v>97</v>
      </c>
      <c r="D35" s="98"/>
      <c r="E35" s="87"/>
      <c r="F35" s="229"/>
      <c r="G35" s="230"/>
      <c r="H35" s="229"/>
      <c r="I35" s="230"/>
      <c r="J35" s="75"/>
      <c r="K35" s="98" t="s">
        <v>103</v>
      </c>
      <c r="L35" s="83" t="s">
        <v>101</v>
      </c>
      <c r="M35" s="229">
        <v>0.2</v>
      </c>
      <c r="N35" s="230"/>
      <c r="O35" s="240" t="s">
        <v>205</v>
      </c>
      <c r="P35" s="240"/>
      <c r="Q35" s="75"/>
      <c r="R35" s="250"/>
      <c r="S35" s="251"/>
      <c r="T35" s="229"/>
      <c r="U35" s="230"/>
      <c r="V35" s="229"/>
      <c r="W35" s="230"/>
    </row>
    <row r="36" spans="1:24" x14ac:dyDescent="0.25">
      <c r="A36" s="245"/>
      <c r="B36" s="225"/>
      <c r="C36" s="42" t="s">
        <v>104</v>
      </c>
      <c r="D36" s="98" t="s">
        <v>105</v>
      </c>
      <c r="E36" s="87"/>
      <c r="F36" s="229">
        <v>1</v>
      </c>
      <c r="G36" s="230"/>
      <c r="H36" s="249" t="s">
        <v>207</v>
      </c>
      <c r="I36" s="249"/>
      <c r="J36" s="75"/>
      <c r="K36" s="99"/>
      <c r="L36" s="87"/>
      <c r="M36" s="229"/>
      <c r="N36" s="230"/>
      <c r="O36" s="249"/>
      <c r="P36" s="249"/>
      <c r="Q36" s="75"/>
      <c r="R36" s="250" t="s">
        <v>106</v>
      </c>
      <c r="S36" s="251"/>
      <c r="T36" s="229">
        <v>0.5</v>
      </c>
      <c r="U36" s="230"/>
      <c r="V36" s="249" t="s">
        <v>201</v>
      </c>
      <c r="W36" s="249"/>
    </row>
    <row r="37" spans="1:24" x14ac:dyDescent="0.25">
      <c r="A37" s="245"/>
      <c r="B37" s="225"/>
      <c r="C37" s="42" t="s">
        <v>107</v>
      </c>
      <c r="D37" s="98" t="s">
        <v>108</v>
      </c>
      <c r="E37" s="87"/>
      <c r="F37" s="249">
        <v>0.6</v>
      </c>
      <c r="G37" s="249"/>
      <c r="H37" s="249" t="s">
        <v>208</v>
      </c>
      <c r="I37" s="249"/>
      <c r="J37" s="75"/>
      <c r="K37" s="98" t="s">
        <v>109</v>
      </c>
      <c r="L37" s="83" t="s">
        <v>101</v>
      </c>
      <c r="M37" s="249">
        <v>0.4</v>
      </c>
      <c r="N37" s="249"/>
      <c r="O37" s="249" t="s">
        <v>209</v>
      </c>
      <c r="P37" s="249"/>
      <c r="Q37" s="75"/>
      <c r="R37" s="252" t="s">
        <v>181</v>
      </c>
      <c r="S37" s="252"/>
      <c r="T37" s="249">
        <v>0.5</v>
      </c>
      <c r="U37" s="249"/>
      <c r="V37" s="249" t="s">
        <v>210</v>
      </c>
      <c r="W37" s="249"/>
    </row>
    <row r="38" spans="1:24" x14ac:dyDescent="0.25">
      <c r="A38" s="245"/>
      <c r="B38" s="225"/>
      <c r="C38" s="42" t="s">
        <v>107</v>
      </c>
      <c r="D38" s="151" t="s">
        <v>180</v>
      </c>
      <c r="E38" s="87"/>
      <c r="F38" s="229">
        <v>0.7</v>
      </c>
      <c r="G38" s="230"/>
      <c r="H38" s="249" t="s">
        <v>208</v>
      </c>
      <c r="I38" s="249"/>
      <c r="J38" s="75"/>
      <c r="K38" s="99"/>
      <c r="L38" s="87"/>
      <c r="M38" s="229"/>
      <c r="N38" s="230"/>
      <c r="O38" s="229"/>
      <c r="P38" s="230"/>
      <c r="Q38" s="75"/>
      <c r="R38" s="99"/>
      <c r="S38" s="87"/>
      <c r="T38" s="229"/>
      <c r="U38" s="230"/>
      <c r="V38" s="229"/>
      <c r="W38" s="230"/>
    </row>
    <row r="39" spans="1:24" ht="15.75" thickBot="1" x14ac:dyDescent="0.3">
      <c r="A39" s="245"/>
      <c r="B39" s="225"/>
      <c r="C39" s="44" t="s">
        <v>107</v>
      </c>
      <c r="D39" s="100"/>
      <c r="E39" s="95"/>
      <c r="F39" s="238"/>
      <c r="G39" s="239"/>
      <c r="H39" s="238"/>
      <c r="I39" s="239"/>
      <c r="J39" s="75"/>
      <c r="K39" s="100"/>
      <c r="L39" s="95"/>
      <c r="M39" s="238"/>
      <c r="N39" s="239"/>
      <c r="O39" s="238"/>
      <c r="P39" s="239"/>
      <c r="Q39" s="75"/>
      <c r="R39" s="100"/>
      <c r="S39" s="95"/>
      <c r="T39" s="238"/>
      <c r="U39" s="239"/>
      <c r="V39" s="238"/>
      <c r="W39" s="239"/>
    </row>
    <row r="40" spans="1:24" s="47" customFormat="1" ht="15.75" thickBot="1" x14ac:dyDescent="0.3">
      <c r="A40" s="246"/>
      <c r="B40" s="226"/>
      <c r="C40" s="40" t="s">
        <v>112</v>
      </c>
      <c r="D40" s="254"/>
      <c r="E40" s="254"/>
      <c r="F40" s="254"/>
      <c r="G40" s="228"/>
      <c r="H40" s="253"/>
      <c r="I40" s="253"/>
      <c r="J40" s="101"/>
      <c r="K40" s="254"/>
      <c r="L40" s="254"/>
      <c r="M40" s="254"/>
      <c r="N40" s="228"/>
      <c r="O40" s="253"/>
      <c r="P40" s="253"/>
      <c r="Q40" s="101"/>
      <c r="R40" s="254"/>
      <c r="S40" s="254"/>
      <c r="T40" s="254"/>
      <c r="U40" s="228"/>
      <c r="V40" s="253"/>
      <c r="W40" s="253"/>
      <c r="X40" s="46"/>
    </row>
    <row r="41" spans="1:24" ht="15.75" thickBot="1" x14ac:dyDescent="0.3">
      <c r="A41" s="38"/>
      <c r="B41" s="39"/>
      <c r="C41" s="39"/>
      <c r="D41" s="181"/>
      <c r="E41" s="182"/>
      <c r="F41" s="182"/>
      <c r="G41" s="182"/>
      <c r="H41" s="182"/>
      <c r="I41" s="182"/>
      <c r="J41" s="75"/>
      <c r="K41" s="181"/>
      <c r="L41" s="182"/>
      <c r="M41" s="182"/>
      <c r="N41" s="182"/>
      <c r="O41" s="182"/>
      <c r="P41" s="182"/>
      <c r="Q41" s="75"/>
      <c r="R41" s="181"/>
      <c r="S41" s="182"/>
      <c r="T41" s="182"/>
      <c r="U41" s="182"/>
      <c r="V41" s="182"/>
      <c r="W41" s="182"/>
    </row>
    <row r="42" spans="1:24" ht="15.75" thickBot="1" x14ac:dyDescent="0.3">
      <c r="A42" s="255" t="s">
        <v>113</v>
      </c>
      <c r="B42" s="256" t="s">
        <v>114</v>
      </c>
      <c r="C42" s="62"/>
      <c r="D42" s="259" t="s">
        <v>115</v>
      </c>
      <c r="E42" s="260"/>
      <c r="F42" s="261" t="s">
        <v>67</v>
      </c>
      <c r="G42" s="261"/>
      <c r="H42" s="261"/>
      <c r="I42" s="261"/>
      <c r="J42" s="75" t="s">
        <v>115</v>
      </c>
      <c r="K42" s="259" t="s">
        <v>115</v>
      </c>
      <c r="L42" s="260"/>
      <c r="M42" s="261" t="s">
        <v>67</v>
      </c>
      <c r="N42" s="261"/>
      <c r="O42" s="261"/>
      <c r="P42" s="261"/>
      <c r="Q42" s="75"/>
      <c r="R42" s="259" t="s">
        <v>115</v>
      </c>
      <c r="S42" s="260"/>
      <c r="T42" s="261" t="s">
        <v>67</v>
      </c>
      <c r="U42" s="261"/>
      <c r="V42" s="261"/>
      <c r="W42" s="261"/>
      <c r="X42" s="48"/>
    </row>
    <row r="43" spans="1:24" ht="15" customHeight="1" x14ac:dyDescent="0.25">
      <c r="A43" s="255"/>
      <c r="B43" s="257"/>
      <c r="C43" s="63" t="s">
        <v>116</v>
      </c>
      <c r="D43" s="262"/>
      <c r="E43" s="263"/>
      <c r="F43" s="264" t="s">
        <v>211</v>
      </c>
      <c r="G43" s="264"/>
      <c r="H43" s="264"/>
      <c r="I43" s="264"/>
      <c r="J43" s="75"/>
      <c r="K43" s="262" t="s">
        <v>212</v>
      </c>
      <c r="L43" s="263"/>
      <c r="M43" s="264"/>
      <c r="N43" s="264"/>
      <c r="O43" s="264"/>
      <c r="P43" s="264"/>
      <c r="Q43" s="75"/>
      <c r="R43" s="202"/>
      <c r="S43" s="203"/>
      <c r="T43" s="200" t="s">
        <v>213</v>
      </c>
      <c r="U43" s="200"/>
      <c r="V43" s="200"/>
      <c r="W43" s="200"/>
    </row>
    <row r="44" spans="1:24" ht="15.75" thickBot="1" x14ac:dyDescent="0.3">
      <c r="A44" s="255"/>
      <c r="B44" s="257"/>
      <c r="C44" s="63" t="s">
        <v>118</v>
      </c>
      <c r="D44" s="202"/>
      <c r="E44" s="203"/>
      <c r="F44" s="264" t="s">
        <v>211</v>
      </c>
      <c r="G44" s="264"/>
      <c r="H44" s="264"/>
      <c r="I44" s="264"/>
      <c r="J44" s="101"/>
      <c r="K44" s="195"/>
      <c r="L44" s="196"/>
      <c r="M44" s="200"/>
      <c r="N44" s="200"/>
      <c r="O44" s="200"/>
      <c r="P44" s="200"/>
      <c r="Q44" s="75"/>
      <c r="R44" s="202"/>
      <c r="S44" s="203"/>
      <c r="T44" s="200"/>
      <c r="U44" s="200"/>
      <c r="V44" s="200"/>
      <c r="W44" s="200"/>
    </row>
    <row r="45" spans="1:24" ht="15.75" thickBot="1" x14ac:dyDescent="0.3">
      <c r="A45" s="255"/>
      <c r="B45" s="258"/>
      <c r="C45" s="64" t="s">
        <v>119</v>
      </c>
      <c r="D45" s="195"/>
      <c r="E45" s="196"/>
      <c r="F45" s="193"/>
      <c r="G45" s="193"/>
      <c r="H45" s="193"/>
      <c r="I45" s="193"/>
      <c r="J45" s="75"/>
      <c r="K45" s="195"/>
      <c r="L45" s="196"/>
      <c r="M45" s="193"/>
      <c r="N45" s="193"/>
      <c r="O45" s="193"/>
      <c r="P45" s="193"/>
      <c r="Q45" s="75"/>
      <c r="R45" s="195"/>
      <c r="S45" s="196"/>
      <c r="T45" s="193"/>
      <c r="U45" s="193"/>
      <c r="V45" s="193"/>
      <c r="W45" s="193"/>
    </row>
    <row r="46" spans="1:24" ht="15.75" thickBot="1" x14ac:dyDescent="0.3">
      <c r="A46" s="38"/>
      <c r="B46" s="39"/>
      <c r="C46" s="39"/>
      <c r="D46" s="181"/>
      <c r="E46" s="182"/>
      <c r="F46" s="182"/>
      <c r="G46" s="182"/>
      <c r="H46" s="182"/>
      <c r="I46" s="182"/>
      <c r="J46" s="75"/>
      <c r="K46" s="181"/>
      <c r="L46" s="182"/>
      <c r="M46" s="182"/>
      <c r="N46" s="182"/>
      <c r="O46" s="182"/>
      <c r="P46" s="182"/>
      <c r="Q46" s="75"/>
      <c r="R46" s="181"/>
      <c r="S46" s="182"/>
      <c r="T46" s="182"/>
      <c r="U46" s="182"/>
      <c r="V46" s="182"/>
      <c r="W46" s="182"/>
    </row>
    <row r="47" spans="1:24" ht="15" customHeight="1" thickBot="1" x14ac:dyDescent="0.3">
      <c r="A47" s="266" t="s">
        <v>120</v>
      </c>
      <c r="B47" s="268" t="s">
        <v>121</v>
      </c>
      <c r="C47" s="65"/>
      <c r="D47" s="102" t="s">
        <v>115</v>
      </c>
      <c r="E47" s="271" t="s">
        <v>122</v>
      </c>
      <c r="F47" s="272"/>
      <c r="G47" s="265" t="s">
        <v>123</v>
      </c>
      <c r="H47" s="265"/>
      <c r="I47" s="265"/>
      <c r="J47" s="101"/>
      <c r="K47" s="102" t="s">
        <v>115</v>
      </c>
      <c r="L47" s="271" t="s">
        <v>122</v>
      </c>
      <c r="M47" s="272"/>
      <c r="N47" s="265" t="s">
        <v>123</v>
      </c>
      <c r="O47" s="265"/>
      <c r="P47" s="265"/>
      <c r="Q47" s="75"/>
      <c r="R47" s="102" t="s">
        <v>115</v>
      </c>
      <c r="S47" s="271" t="s">
        <v>122</v>
      </c>
      <c r="T47" s="272"/>
      <c r="U47" s="265" t="s">
        <v>123</v>
      </c>
      <c r="V47" s="265"/>
      <c r="W47" s="265"/>
    </row>
    <row r="48" spans="1:24" ht="15" customHeight="1" x14ac:dyDescent="0.25">
      <c r="A48" s="267"/>
      <c r="B48" s="269"/>
      <c r="C48" s="66" t="s">
        <v>124</v>
      </c>
      <c r="D48" s="103"/>
      <c r="E48" s="274">
        <v>5.4</v>
      </c>
      <c r="F48" s="275"/>
      <c r="G48" s="276">
        <v>729</v>
      </c>
      <c r="H48" s="276"/>
      <c r="I48" s="276"/>
      <c r="J48" s="75"/>
      <c r="K48" s="103"/>
      <c r="L48" s="274">
        <v>6.5</v>
      </c>
      <c r="M48" s="275"/>
      <c r="N48" s="276">
        <f>L48*130</f>
        <v>845</v>
      </c>
      <c r="O48" s="276"/>
      <c r="P48" s="276"/>
      <c r="Q48" s="75"/>
      <c r="R48" s="103"/>
      <c r="S48" s="274">
        <v>3.2</v>
      </c>
      <c r="T48" s="275"/>
      <c r="U48" s="276">
        <f>S48*260</f>
        <v>832</v>
      </c>
      <c r="V48" s="276"/>
      <c r="W48" s="276"/>
    </row>
    <row r="49" spans="1:24" ht="15.75" thickBot="1" x14ac:dyDescent="0.3">
      <c r="A49" s="267"/>
      <c r="B49" s="270"/>
      <c r="C49" s="61" t="s">
        <v>125</v>
      </c>
      <c r="D49" s="103"/>
      <c r="E49" s="273"/>
      <c r="F49" s="209"/>
      <c r="G49" s="188"/>
      <c r="H49" s="188"/>
      <c r="I49" s="188"/>
      <c r="J49" s="75"/>
      <c r="K49" s="104"/>
      <c r="L49" s="273"/>
      <c r="M49" s="209"/>
      <c r="N49" s="188"/>
      <c r="O49" s="188"/>
      <c r="P49" s="188"/>
      <c r="Q49" s="75"/>
      <c r="R49" s="104"/>
      <c r="S49" s="273"/>
      <c r="T49" s="209"/>
      <c r="U49" s="188"/>
      <c r="V49" s="188"/>
      <c r="W49" s="188"/>
    </row>
    <row r="50" spans="1:24" ht="15.75" thickBot="1" x14ac:dyDescent="0.3">
      <c r="A50" s="38"/>
      <c r="B50" s="39"/>
      <c r="C50" s="39"/>
      <c r="D50" s="181"/>
      <c r="E50" s="182"/>
      <c r="F50" s="182"/>
      <c r="G50" s="182"/>
      <c r="H50" s="182"/>
      <c r="I50" s="182"/>
      <c r="J50" s="101"/>
      <c r="K50" s="181"/>
      <c r="L50" s="182"/>
      <c r="M50" s="182"/>
      <c r="N50" s="182"/>
      <c r="O50" s="182"/>
      <c r="P50" s="182"/>
      <c r="Q50" s="75"/>
      <c r="R50" s="181"/>
      <c r="S50" s="182"/>
      <c r="T50" s="182"/>
      <c r="U50" s="182"/>
      <c r="V50" s="182"/>
      <c r="W50" s="182"/>
    </row>
    <row r="51" spans="1:24" ht="15" customHeight="1" x14ac:dyDescent="0.25">
      <c r="A51" s="244" t="s">
        <v>126</v>
      </c>
      <c r="B51" s="281" t="s">
        <v>127</v>
      </c>
      <c r="C51" s="49" t="s">
        <v>128</v>
      </c>
      <c r="D51" s="235">
        <f>260*0.4</f>
        <v>104</v>
      </c>
      <c r="E51" s="284"/>
      <c r="F51" s="284"/>
      <c r="G51" s="284"/>
      <c r="H51" s="284"/>
      <c r="I51" s="284"/>
      <c r="J51" s="75"/>
      <c r="K51" s="235">
        <v>10.4</v>
      </c>
      <c r="L51" s="284"/>
      <c r="M51" s="284"/>
      <c r="N51" s="284"/>
      <c r="O51" s="284"/>
      <c r="P51" s="284"/>
      <c r="Q51" s="75"/>
      <c r="R51" s="235">
        <v>68.2</v>
      </c>
      <c r="S51" s="284"/>
      <c r="T51" s="284"/>
      <c r="U51" s="284"/>
      <c r="V51" s="284"/>
      <c r="W51" s="284"/>
    </row>
    <row r="52" spans="1:24" x14ac:dyDescent="0.25">
      <c r="A52" s="245"/>
      <c r="B52" s="282"/>
      <c r="C52" s="50" t="s">
        <v>129</v>
      </c>
      <c r="D52" s="279">
        <f>0.4118*240</f>
        <v>98.831999999999994</v>
      </c>
      <c r="E52" s="280"/>
      <c r="F52" s="280"/>
      <c r="G52" s="280"/>
      <c r="H52" s="280"/>
      <c r="I52" s="280"/>
      <c r="J52" s="75"/>
      <c r="K52" s="279">
        <f>0.4706*240+0.269*357+0.16*635</f>
        <v>310.577</v>
      </c>
      <c r="L52" s="280"/>
      <c r="M52" s="280"/>
      <c r="N52" s="280"/>
      <c r="O52" s="280"/>
      <c r="P52" s="280"/>
      <c r="Q52" s="75"/>
      <c r="R52" s="230">
        <f>0.261*314+2*10.12</f>
        <v>102.194</v>
      </c>
      <c r="S52" s="249"/>
      <c r="T52" s="249"/>
      <c r="U52" s="249"/>
      <c r="V52" s="249"/>
      <c r="W52" s="249"/>
    </row>
    <row r="53" spans="1:24" ht="15" customHeight="1" x14ac:dyDescent="0.25">
      <c r="A53" s="245"/>
      <c r="B53" s="282"/>
      <c r="C53" s="50" t="s">
        <v>130</v>
      </c>
      <c r="D53" s="230">
        <f>30*0.3+30+19.8+0.7*18</f>
        <v>71.399999999999991</v>
      </c>
      <c r="E53" s="249"/>
      <c r="F53" s="249"/>
      <c r="G53" s="249"/>
      <c r="H53" s="249"/>
      <c r="I53" s="249"/>
      <c r="J53" s="75"/>
      <c r="K53" s="285">
        <f>23*2.5+14+12</f>
        <v>83.5</v>
      </c>
      <c r="L53" s="285"/>
      <c r="M53" s="285"/>
      <c r="N53" s="285"/>
      <c r="O53" s="285"/>
      <c r="P53" s="230"/>
      <c r="Q53" s="75"/>
      <c r="R53" s="230">
        <f>1*35+0.5*44+0.7*18</f>
        <v>69.599999999999994</v>
      </c>
      <c r="S53" s="249"/>
      <c r="T53" s="249"/>
      <c r="U53" s="249"/>
      <c r="V53" s="249"/>
      <c r="W53" s="249"/>
    </row>
    <row r="54" spans="1:24" ht="30" x14ac:dyDescent="0.25">
      <c r="A54" s="245"/>
      <c r="B54" s="282"/>
      <c r="C54" s="50" t="s">
        <v>131</v>
      </c>
      <c r="D54" s="277"/>
      <c r="E54" s="278"/>
      <c r="F54" s="278"/>
      <c r="G54" s="278"/>
      <c r="H54" s="278"/>
      <c r="I54" s="278"/>
      <c r="J54" s="75"/>
      <c r="K54" s="277"/>
      <c r="L54" s="278"/>
      <c r="M54" s="278"/>
      <c r="N54" s="278"/>
      <c r="O54" s="278"/>
      <c r="P54" s="278"/>
      <c r="Q54" s="75"/>
      <c r="R54" s="230">
        <v>70</v>
      </c>
      <c r="S54" s="249"/>
      <c r="T54" s="249"/>
      <c r="U54" s="249"/>
      <c r="V54" s="249"/>
      <c r="W54" s="249"/>
    </row>
    <row r="55" spans="1:24" x14ac:dyDescent="0.25">
      <c r="A55" s="245"/>
      <c r="B55" s="282"/>
      <c r="C55" s="42" t="s">
        <v>132</v>
      </c>
      <c r="D55" s="277"/>
      <c r="E55" s="278"/>
      <c r="F55" s="278"/>
      <c r="G55" s="278"/>
      <c r="H55" s="278"/>
      <c r="I55" s="278"/>
      <c r="J55" s="75"/>
      <c r="K55" s="277"/>
      <c r="L55" s="278"/>
      <c r="M55" s="278"/>
      <c r="N55" s="278"/>
      <c r="O55" s="278"/>
      <c r="P55" s="278"/>
      <c r="Q55" s="75"/>
      <c r="R55" s="277"/>
      <c r="S55" s="278"/>
      <c r="T55" s="278"/>
      <c r="U55" s="278"/>
      <c r="V55" s="278"/>
      <c r="W55" s="278"/>
    </row>
    <row r="56" spans="1:24" x14ac:dyDescent="0.25">
      <c r="A56" s="245"/>
      <c r="B56" s="282"/>
      <c r="C56" s="42" t="s">
        <v>133</v>
      </c>
      <c r="D56" s="277"/>
      <c r="E56" s="278"/>
      <c r="F56" s="278"/>
      <c r="G56" s="278"/>
      <c r="H56" s="278"/>
      <c r="I56" s="278"/>
      <c r="J56" s="75"/>
      <c r="K56" s="277"/>
      <c r="L56" s="278"/>
      <c r="M56" s="278"/>
      <c r="N56" s="278"/>
      <c r="O56" s="278"/>
      <c r="P56" s="278"/>
      <c r="Q56" s="75"/>
      <c r="R56" s="277"/>
      <c r="S56" s="278"/>
      <c r="T56" s="278"/>
      <c r="U56" s="278"/>
      <c r="V56" s="278"/>
      <c r="W56" s="278"/>
    </row>
    <row r="57" spans="1:24" x14ac:dyDescent="0.25">
      <c r="A57" s="245"/>
      <c r="B57" s="282"/>
      <c r="C57" s="50" t="s">
        <v>134</v>
      </c>
      <c r="D57" s="277"/>
      <c r="E57" s="278"/>
      <c r="F57" s="278"/>
      <c r="G57" s="278"/>
      <c r="H57" s="278"/>
      <c r="I57" s="278"/>
      <c r="J57" s="75"/>
      <c r="K57" s="277"/>
      <c r="L57" s="278"/>
      <c r="M57" s="278"/>
      <c r="N57" s="278"/>
      <c r="O57" s="278"/>
      <c r="P57" s="278"/>
      <c r="Q57" s="75"/>
      <c r="R57" s="277"/>
      <c r="S57" s="278"/>
      <c r="T57" s="278"/>
      <c r="U57" s="278"/>
      <c r="V57" s="278"/>
      <c r="W57" s="278"/>
    </row>
    <row r="58" spans="1:24" x14ac:dyDescent="0.25">
      <c r="A58" s="245"/>
      <c r="B58" s="282"/>
      <c r="C58" s="42" t="s">
        <v>135</v>
      </c>
      <c r="D58" s="279">
        <f>D51+D52+D53+D54+D55+D56+D57</f>
        <v>274.23199999999997</v>
      </c>
      <c r="E58" s="249"/>
      <c r="F58" s="249"/>
      <c r="G58" s="249"/>
      <c r="H58" s="249"/>
      <c r="I58" s="249"/>
      <c r="J58" s="75"/>
      <c r="K58" s="279">
        <f>K51+K52+K53+K54+K55+K56+K57</f>
        <v>404.47699999999998</v>
      </c>
      <c r="L58" s="249"/>
      <c r="M58" s="249"/>
      <c r="N58" s="249"/>
      <c r="O58" s="249"/>
      <c r="P58" s="249"/>
      <c r="Q58" s="75"/>
      <c r="R58" s="279">
        <f>R57+R56+R55+R54+R53+R52+R51</f>
        <v>309.99399999999997</v>
      </c>
      <c r="S58" s="280"/>
      <c r="T58" s="280"/>
      <c r="U58" s="280"/>
      <c r="V58" s="280"/>
      <c r="W58" s="280"/>
    </row>
    <row r="59" spans="1:24" ht="15" customHeight="1" x14ac:dyDescent="0.25">
      <c r="A59" s="245"/>
      <c r="B59" s="282"/>
      <c r="C59" s="286" t="s">
        <v>136</v>
      </c>
      <c r="D59" s="277">
        <v>110</v>
      </c>
      <c r="E59" s="278"/>
      <c r="F59" s="278"/>
      <c r="G59" s="278"/>
      <c r="H59" s="278"/>
      <c r="I59" s="278"/>
      <c r="J59" s="105"/>
      <c r="K59" s="290">
        <v>110</v>
      </c>
      <c r="L59" s="291"/>
      <c r="M59" s="291"/>
      <c r="N59" s="291"/>
      <c r="O59" s="291"/>
      <c r="P59" s="292"/>
      <c r="Q59" s="105"/>
      <c r="R59" s="277">
        <v>110</v>
      </c>
      <c r="S59" s="278"/>
      <c r="T59" s="278"/>
      <c r="U59" s="278"/>
      <c r="V59" s="278"/>
      <c r="W59" s="278"/>
      <c r="X59" s="51"/>
    </row>
    <row r="60" spans="1:24" ht="15.75" thickBot="1" x14ac:dyDescent="0.3">
      <c r="A60" s="246"/>
      <c r="B60" s="283"/>
      <c r="C60" s="287"/>
      <c r="D60" s="288"/>
      <c r="E60" s="289"/>
      <c r="F60" s="289"/>
      <c r="G60" s="289"/>
      <c r="H60" s="289"/>
      <c r="I60" s="289"/>
      <c r="J60" s="105"/>
      <c r="K60" s="293"/>
      <c r="L60" s="294"/>
      <c r="M60" s="294"/>
      <c r="N60" s="294"/>
      <c r="O60" s="294"/>
      <c r="P60" s="295"/>
      <c r="Q60" s="105"/>
      <c r="R60" s="288"/>
      <c r="S60" s="289"/>
      <c r="T60" s="289"/>
      <c r="U60" s="289"/>
      <c r="V60" s="289"/>
      <c r="W60" s="289"/>
      <c r="X60" s="51"/>
    </row>
    <row r="63" spans="1:24" x14ac:dyDescent="0.25">
      <c r="D63" s="55"/>
      <c r="K63" s="55"/>
      <c r="R63" s="55"/>
    </row>
    <row r="67" spans="3:19" x14ac:dyDescent="0.25">
      <c r="C67" s="55"/>
      <c r="S67" s="57"/>
    </row>
  </sheetData>
  <mergeCells count="225">
    <mergeCell ref="A51:A60"/>
    <mergeCell ref="B51:B60"/>
    <mergeCell ref="D51:I51"/>
    <mergeCell ref="K51:P51"/>
    <mergeCell ref="R51:W51"/>
    <mergeCell ref="D53:I53"/>
    <mergeCell ref="K53:P53"/>
    <mergeCell ref="R53:W53"/>
    <mergeCell ref="D56:I56"/>
    <mergeCell ref="K56:P56"/>
    <mergeCell ref="R56:W56"/>
    <mergeCell ref="D55:I55"/>
    <mergeCell ref="K55:P55"/>
    <mergeCell ref="R55:W55"/>
    <mergeCell ref="D54:I54"/>
    <mergeCell ref="K54:P54"/>
    <mergeCell ref="R54:W54"/>
    <mergeCell ref="C59:C60"/>
    <mergeCell ref="D59:I60"/>
    <mergeCell ref="K59:P60"/>
    <mergeCell ref="R59:W60"/>
    <mergeCell ref="D58:I58"/>
    <mergeCell ref="K58:P58"/>
    <mergeCell ref="R58:W58"/>
    <mergeCell ref="D50:I50"/>
    <mergeCell ref="K50:P50"/>
    <mergeCell ref="R50:W50"/>
    <mergeCell ref="D57:I57"/>
    <mergeCell ref="K57:P57"/>
    <mergeCell ref="R57:W57"/>
    <mergeCell ref="D52:I52"/>
    <mergeCell ref="K52:P52"/>
    <mergeCell ref="R52:W52"/>
    <mergeCell ref="U47:W47"/>
    <mergeCell ref="A47:A49"/>
    <mergeCell ref="B47:B49"/>
    <mergeCell ref="E47:F47"/>
    <mergeCell ref="G47:I47"/>
    <mergeCell ref="L47:M47"/>
    <mergeCell ref="N47:P47"/>
    <mergeCell ref="S47:T47"/>
    <mergeCell ref="E49:F49"/>
    <mergeCell ref="G49:I49"/>
    <mergeCell ref="L49:M49"/>
    <mergeCell ref="N49:P49"/>
    <mergeCell ref="S49:T49"/>
    <mergeCell ref="U49:W49"/>
    <mergeCell ref="E48:F48"/>
    <mergeCell ref="G48:I48"/>
    <mergeCell ref="L48:M48"/>
    <mergeCell ref="N48:P48"/>
    <mergeCell ref="S48:T48"/>
    <mergeCell ref="U48:W48"/>
    <mergeCell ref="T42:W42"/>
    <mergeCell ref="D46:I46"/>
    <mergeCell ref="K46:P46"/>
    <mergeCell ref="R46:W46"/>
    <mergeCell ref="K45:L45"/>
    <mergeCell ref="M45:P45"/>
    <mergeCell ref="R45:S45"/>
    <mergeCell ref="T45:W45"/>
    <mergeCell ref="D44:E44"/>
    <mergeCell ref="F44:I44"/>
    <mergeCell ref="K44:L44"/>
    <mergeCell ref="M44:P44"/>
    <mergeCell ref="R44:S44"/>
    <mergeCell ref="T44:W44"/>
    <mergeCell ref="H40:I40"/>
    <mergeCell ref="K40:N40"/>
    <mergeCell ref="O40:P40"/>
    <mergeCell ref="R40:U40"/>
    <mergeCell ref="A42:A45"/>
    <mergeCell ref="B42:B45"/>
    <mergeCell ref="D42:E42"/>
    <mergeCell ref="F42:I42"/>
    <mergeCell ref="D45:E45"/>
    <mergeCell ref="F45:I45"/>
    <mergeCell ref="D41:I41"/>
    <mergeCell ref="K41:P41"/>
    <mergeCell ref="R41:W41"/>
    <mergeCell ref="V40:W40"/>
    <mergeCell ref="D40:G40"/>
    <mergeCell ref="R43:S43"/>
    <mergeCell ref="T43:W43"/>
    <mergeCell ref="D43:E43"/>
    <mergeCell ref="F43:I43"/>
    <mergeCell ref="K43:L43"/>
    <mergeCell ref="M43:P43"/>
    <mergeCell ref="K42:L42"/>
    <mergeCell ref="M42:P42"/>
    <mergeCell ref="R42:S42"/>
    <mergeCell ref="F39:G39"/>
    <mergeCell ref="H39:I39"/>
    <mergeCell ref="M39:N39"/>
    <mergeCell ref="V39:W39"/>
    <mergeCell ref="O39:P39"/>
    <mergeCell ref="T39:U39"/>
    <mergeCell ref="F38:G38"/>
    <mergeCell ref="H38:I38"/>
    <mergeCell ref="M38:N38"/>
    <mergeCell ref="O38:P38"/>
    <mergeCell ref="T38:U38"/>
    <mergeCell ref="V38:W38"/>
    <mergeCell ref="V35:W35"/>
    <mergeCell ref="F35:G35"/>
    <mergeCell ref="H35:I35"/>
    <mergeCell ref="M35:N35"/>
    <mergeCell ref="O35:P35"/>
    <mergeCell ref="F37:G37"/>
    <mergeCell ref="H37:I37"/>
    <mergeCell ref="M37:N37"/>
    <mergeCell ref="O37:P37"/>
    <mergeCell ref="R37:S37"/>
    <mergeCell ref="T37:U37"/>
    <mergeCell ref="T36:U36"/>
    <mergeCell ref="F34:G34"/>
    <mergeCell ref="H34:I34"/>
    <mergeCell ref="M34:N34"/>
    <mergeCell ref="O34:P34"/>
    <mergeCell ref="R34:S34"/>
    <mergeCell ref="T34:U34"/>
    <mergeCell ref="V34:W34"/>
    <mergeCell ref="V33:W33"/>
    <mergeCell ref="A33:A40"/>
    <mergeCell ref="B33:B40"/>
    <mergeCell ref="F33:G33"/>
    <mergeCell ref="H33:I33"/>
    <mergeCell ref="M33:N33"/>
    <mergeCell ref="O33:P33"/>
    <mergeCell ref="T33:U33"/>
    <mergeCell ref="V36:W36"/>
    <mergeCell ref="V37:W37"/>
    <mergeCell ref="F36:G36"/>
    <mergeCell ref="H36:I36"/>
    <mergeCell ref="M36:N36"/>
    <mergeCell ref="O36:P36"/>
    <mergeCell ref="R36:S36"/>
    <mergeCell ref="R35:S35"/>
    <mergeCell ref="T35:U35"/>
    <mergeCell ref="D32:I32"/>
    <mergeCell ref="K32:P32"/>
    <mergeCell ref="R32:W32"/>
    <mergeCell ref="F31:G31"/>
    <mergeCell ref="M31:N31"/>
    <mergeCell ref="T31:U31"/>
    <mergeCell ref="F30:G30"/>
    <mergeCell ref="M30:N30"/>
    <mergeCell ref="T30:U30"/>
    <mergeCell ref="T25:U25"/>
    <mergeCell ref="F24:G24"/>
    <mergeCell ref="M24:N24"/>
    <mergeCell ref="T24:U24"/>
    <mergeCell ref="F29:G29"/>
    <mergeCell ref="M29:N29"/>
    <mergeCell ref="T29:U29"/>
    <mergeCell ref="F28:G28"/>
    <mergeCell ref="M28:N28"/>
    <mergeCell ref="T28:U28"/>
    <mergeCell ref="F27:G27"/>
    <mergeCell ref="M27:N27"/>
    <mergeCell ref="T27:U27"/>
    <mergeCell ref="D20:I20"/>
    <mergeCell ref="K20:P20"/>
    <mergeCell ref="R20:W20"/>
    <mergeCell ref="A17:A19"/>
    <mergeCell ref="B17:B19"/>
    <mergeCell ref="D17:I17"/>
    <mergeCell ref="K17:P17"/>
    <mergeCell ref="R17:W17"/>
    <mergeCell ref="A21:A31"/>
    <mergeCell ref="B21:B31"/>
    <mergeCell ref="F21:G21"/>
    <mergeCell ref="M21:N21"/>
    <mergeCell ref="T21:U21"/>
    <mergeCell ref="F23:G23"/>
    <mergeCell ref="M23:N23"/>
    <mergeCell ref="T23:U23"/>
    <mergeCell ref="F22:G22"/>
    <mergeCell ref="M22:N22"/>
    <mergeCell ref="T22:U22"/>
    <mergeCell ref="F26:G26"/>
    <mergeCell ref="M26:N26"/>
    <mergeCell ref="T26:U26"/>
    <mergeCell ref="F25:G25"/>
    <mergeCell ref="M25:N25"/>
    <mergeCell ref="D16:I16"/>
    <mergeCell ref="K16:P16"/>
    <mergeCell ref="R16:W16"/>
    <mergeCell ref="D19:I19"/>
    <mergeCell ref="K19:P19"/>
    <mergeCell ref="R19:W19"/>
    <mergeCell ref="D13:I13"/>
    <mergeCell ref="K13:P13"/>
    <mergeCell ref="R13:W13"/>
    <mergeCell ref="D18:I18"/>
    <mergeCell ref="K18:P18"/>
    <mergeCell ref="R18:W18"/>
    <mergeCell ref="D14:I14"/>
    <mergeCell ref="D15:I15"/>
    <mergeCell ref="A8:A11"/>
    <mergeCell ref="B8:B11"/>
    <mergeCell ref="D8:I8"/>
    <mergeCell ref="K8:P8"/>
    <mergeCell ref="R8:W8"/>
    <mergeCell ref="D12:I12"/>
    <mergeCell ref="K12:P12"/>
    <mergeCell ref="R12:W12"/>
    <mergeCell ref="K14:P14"/>
    <mergeCell ref="R14:W14"/>
    <mergeCell ref="A13:A15"/>
    <mergeCell ref="B13:B15"/>
    <mergeCell ref="K15:P15"/>
    <mergeCell ref="R15:W15"/>
    <mergeCell ref="D11:I11"/>
    <mergeCell ref="K11:P11"/>
    <mergeCell ref="R11:W11"/>
    <mergeCell ref="D7:I7"/>
    <mergeCell ref="K7:P7"/>
    <mergeCell ref="R7:W7"/>
    <mergeCell ref="D10:I10"/>
    <mergeCell ref="K10:P10"/>
    <mergeCell ref="R10:W10"/>
    <mergeCell ref="D9:I9"/>
    <mergeCell ref="K9:P9"/>
    <mergeCell ref="R9:W9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zoomScale="60" zoomScaleNormal="60" workbookViewId="0">
      <pane xSplit="3" topLeftCell="I1" activePane="topRight" state="frozen"/>
      <selection pane="topRight" activeCell="Y20" sqref="Y20"/>
    </sheetView>
  </sheetViews>
  <sheetFormatPr baseColWidth="10" defaultColWidth="11.42578125" defaultRowHeight="15" x14ac:dyDescent="0.25"/>
  <cols>
    <col min="2" max="2" width="28.28515625" customWidth="1"/>
    <col min="3" max="3" width="34.5703125" customWidth="1"/>
    <col min="4" max="4" width="22.5703125" customWidth="1"/>
    <col min="5" max="5" width="29.28515625" customWidth="1"/>
    <col min="8" max="8" width="25.85546875" bestFit="1" customWidth="1"/>
    <col min="9" max="9" width="19.5703125" customWidth="1"/>
    <col min="10" max="10" width="1.7109375" style="24" customWidth="1"/>
    <col min="11" max="11" width="17.140625" customWidth="1"/>
    <col min="12" max="12" width="35" bestFit="1" customWidth="1"/>
    <col min="13" max="14" width="9.28515625" customWidth="1"/>
    <col min="15" max="15" width="25.85546875" bestFit="1" customWidth="1"/>
    <col min="16" max="16" width="28.140625" bestFit="1" customWidth="1"/>
    <col min="17" max="17" width="1.7109375" style="24" customWidth="1"/>
    <col min="18" max="18" width="13" customWidth="1"/>
    <col min="19" max="19" width="13.42578125" customWidth="1"/>
    <col min="20" max="20" width="21" customWidth="1"/>
    <col min="21" max="21" width="7.140625" customWidth="1"/>
    <col min="22" max="22" width="22.5703125" customWidth="1"/>
    <col min="23" max="23" width="18.5703125" customWidth="1"/>
    <col min="24" max="24" width="1.7109375" style="23" customWidth="1"/>
    <col min="25" max="25" width="9.42578125" customWidth="1"/>
    <col min="26" max="26" width="30.42578125" customWidth="1"/>
    <col min="27" max="27" width="21.28515625" customWidth="1"/>
    <col min="29" max="29" width="25.85546875" bestFit="1" customWidth="1"/>
    <col min="30" max="30" width="18.42578125" customWidth="1"/>
    <col min="31" max="31" width="1.7109375" style="23" customWidth="1"/>
  </cols>
  <sheetData>
    <row r="1" spans="1:31" ht="15.75" thickBot="1" x14ac:dyDescent="0.3"/>
    <row r="2" spans="1:31" ht="15.75" thickBot="1" x14ac:dyDescent="0.3">
      <c r="A2" s="25"/>
      <c r="B2" s="26" t="s">
        <v>38</v>
      </c>
      <c r="C2" s="26" t="s">
        <v>39</v>
      </c>
      <c r="D2" s="296" t="s">
        <v>40</v>
      </c>
      <c r="E2" s="169"/>
      <c r="F2" s="169"/>
      <c r="G2" s="169"/>
      <c r="H2" s="169"/>
      <c r="I2" s="169"/>
      <c r="J2" s="27"/>
      <c r="K2" s="168" t="s">
        <v>41</v>
      </c>
      <c r="L2" s="169"/>
      <c r="M2" s="169"/>
      <c r="N2" s="169"/>
      <c r="O2" s="169"/>
      <c r="P2" s="169"/>
      <c r="Q2" s="27"/>
      <c r="R2" s="168" t="s">
        <v>42</v>
      </c>
      <c r="S2" s="169"/>
      <c r="T2" s="169"/>
      <c r="U2" s="169"/>
      <c r="V2" s="169"/>
      <c r="W2" s="169"/>
      <c r="X2" s="28"/>
      <c r="Y2" s="168" t="s">
        <v>43</v>
      </c>
      <c r="Z2" s="169"/>
      <c r="AA2" s="169"/>
      <c r="AB2" s="169"/>
      <c r="AC2" s="169"/>
      <c r="AD2" s="169"/>
      <c r="AE2" s="28"/>
    </row>
    <row r="3" spans="1:31" ht="15" customHeight="1" x14ac:dyDescent="0.25">
      <c r="A3" s="173" t="s">
        <v>44</v>
      </c>
      <c r="B3" s="176" t="s">
        <v>45</v>
      </c>
      <c r="C3" s="29" t="s">
        <v>46</v>
      </c>
      <c r="D3" s="302" t="s">
        <v>137</v>
      </c>
      <c r="E3" s="303"/>
      <c r="F3" s="303"/>
      <c r="G3" s="303"/>
      <c r="H3" s="303"/>
      <c r="I3" s="303"/>
      <c r="J3" s="30"/>
      <c r="K3" s="302" t="s">
        <v>138</v>
      </c>
      <c r="L3" s="303"/>
      <c r="M3" s="303"/>
      <c r="N3" s="303"/>
      <c r="O3" s="303"/>
      <c r="P3" s="303"/>
      <c r="Q3" s="30"/>
      <c r="R3" s="302" t="s">
        <v>48</v>
      </c>
      <c r="S3" s="303"/>
      <c r="T3" s="303"/>
      <c r="U3" s="303"/>
      <c r="V3" s="303"/>
      <c r="W3" s="303"/>
      <c r="Y3" s="302" t="s">
        <v>49</v>
      </c>
      <c r="Z3" s="303"/>
      <c r="AA3" s="303"/>
      <c r="AB3" s="303"/>
      <c r="AC3" s="303"/>
      <c r="AD3" s="303"/>
    </row>
    <row r="4" spans="1:31" x14ac:dyDescent="0.25">
      <c r="A4" s="174"/>
      <c r="B4" s="177"/>
      <c r="C4" s="52" t="s">
        <v>50</v>
      </c>
      <c r="D4" s="297" t="s">
        <v>51</v>
      </c>
      <c r="E4" s="298"/>
      <c r="F4" s="298"/>
      <c r="G4" s="298"/>
      <c r="H4" s="298"/>
      <c r="I4" s="298"/>
      <c r="J4" s="72"/>
      <c r="K4" s="297" t="s">
        <v>51</v>
      </c>
      <c r="L4" s="298"/>
      <c r="M4" s="298"/>
      <c r="N4" s="298"/>
      <c r="O4" s="298"/>
      <c r="P4" s="298"/>
      <c r="Q4" s="72"/>
      <c r="R4" s="171" t="s">
        <v>51</v>
      </c>
      <c r="S4" s="172"/>
      <c r="T4" s="172"/>
      <c r="U4" s="172"/>
      <c r="V4" s="172"/>
      <c r="W4" s="172"/>
      <c r="X4" s="106"/>
      <c r="Y4" s="171" t="s">
        <v>51</v>
      </c>
      <c r="Z4" s="172"/>
      <c r="AA4" s="172"/>
      <c r="AB4" s="172"/>
      <c r="AC4" s="172"/>
      <c r="AD4" s="172"/>
    </row>
    <row r="5" spans="1:31" x14ac:dyDescent="0.25">
      <c r="A5" s="174"/>
      <c r="B5" s="177"/>
      <c r="C5" s="31" t="s">
        <v>52</v>
      </c>
      <c r="D5" s="170" t="s">
        <v>139</v>
      </c>
      <c r="E5" s="170"/>
      <c r="F5" s="170"/>
      <c r="G5" s="170"/>
      <c r="H5" s="170"/>
      <c r="I5" s="170"/>
      <c r="J5" s="107"/>
      <c r="K5" s="170" t="s">
        <v>53</v>
      </c>
      <c r="L5" s="170"/>
      <c r="M5" s="170"/>
      <c r="N5" s="170"/>
      <c r="O5" s="170"/>
      <c r="P5" s="170"/>
      <c r="Q5" s="73"/>
      <c r="R5" s="170" t="s">
        <v>53</v>
      </c>
      <c r="S5" s="170"/>
      <c r="T5" s="170"/>
      <c r="U5" s="170"/>
      <c r="V5" s="170"/>
      <c r="W5" s="170"/>
      <c r="X5" s="73"/>
      <c r="Y5" s="170" t="s">
        <v>53</v>
      </c>
      <c r="Z5" s="170"/>
      <c r="AA5" s="170"/>
      <c r="AB5" s="170"/>
      <c r="AC5" s="170"/>
      <c r="AD5" s="170"/>
      <c r="AE5" s="32"/>
    </row>
    <row r="6" spans="1:31" ht="15.75" thickBot="1" x14ac:dyDescent="0.3">
      <c r="A6" s="175"/>
      <c r="B6" s="178"/>
      <c r="C6" s="53" t="s">
        <v>54</v>
      </c>
      <c r="D6" s="301"/>
      <c r="E6" s="190"/>
      <c r="F6" s="190"/>
      <c r="G6" s="190"/>
      <c r="H6" s="190"/>
      <c r="I6" s="191"/>
      <c r="J6" s="72"/>
      <c r="K6" s="301"/>
      <c r="L6" s="190"/>
      <c r="M6" s="190"/>
      <c r="N6" s="190"/>
      <c r="O6" s="190"/>
      <c r="P6" s="191"/>
      <c r="Q6" s="72"/>
      <c r="R6" s="189"/>
      <c r="S6" s="190"/>
      <c r="T6" s="190"/>
      <c r="U6" s="190"/>
      <c r="V6" s="190"/>
      <c r="W6" s="191"/>
      <c r="X6" s="108"/>
      <c r="Y6" s="189"/>
      <c r="Z6" s="190"/>
      <c r="AA6" s="190"/>
      <c r="AB6" s="190"/>
      <c r="AC6" s="190"/>
      <c r="AD6" s="191"/>
      <c r="AE6" s="54"/>
    </row>
    <row r="7" spans="1:31" ht="15.75" thickBot="1" x14ac:dyDescent="0.3">
      <c r="A7" s="35"/>
      <c r="B7" s="36"/>
      <c r="C7" s="37"/>
      <c r="D7" s="299"/>
      <c r="E7" s="300"/>
      <c r="F7" s="300"/>
      <c r="G7" s="300"/>
      <c r="H7" s="300"/>
      <c r="I7" s="300"/>
      <c r="J7" s="75"/>
      <c r="K7" s="299"/>
      <c r="L7" s="300"/>
      <c r="M7" s="300"/>
      <c r="N7" s="300"/>
      <c r="O7" s="300"/>
      <c r="P7" s="300"/>
      <c r="Q7" s="75"/>
      <c r="R7" s="181"/>
      <c r="S7" s="182"/>
      <c r="T7" s="182"/>
      <c r="U7" s="182"/>
      <c r="V7" s="182"/>
      <c r="W7" s="182"/>
      <c r="X7" s="106"/>
      <c r="Y7" s="181"/>
      <c r="Z7" s="182"/>
      <c r="AA7" s="182"/>
      <c r="AB7" s="182"/>
      <c r="AC7" s="182"/>
      <c r="AD7" s="182"/>
    </row>
    <row r="8" spans="1:31" ht="15" customHeight="1" x14ac:dyDescent="0.25">
      <c r="A8" s="185" t="s">
        <v>55</v>
      </c>
      <c r="B8" s="186" t="s">
        <v>56</v>
      </c>
      <c r="C8" s="58" t="s">
        <v>57</v>
      </c>
      <c r="D8" s="197" t="s">
        <v>214</v>
      </c>
      <c r="E8" s="198"/>
      <c r="F8" s="198"/>
      <c r="G8" s="198"/>
      <c r="H8" s="198"/>
      <c r="I8" s="198"/>
      <c r="J8" s="75"/>
      <c r="K8" s="197" t="s">
        <v>162</v>
      </c>
      <c r="L8" s="198"/>
      <c r="M8" s="198"/>
      <c r="N8" s="198"/>
      <c r="O8" s="198"/>
      <c r="P8" s="198"/>
      <c r="Q8" s="75"/>
      <c r="R8" s="304" t="s">
        <v>215</v>
      </c>
      <c r="S8" s="305"/>
      <c r="T8" s="305"/>
      <c r="U8" s="305"/>
      <c r="V8" s="305"/>
      <c r="W8" s="306"/>
      <c r="X8" s="106"/>
      <c r="Y8" s="197" t="s">
        <v>186</v>
      </c>
      <c r="Z8" s="198"/>
      <c r="AA8" s="198"/>
      <c r="AB8" s="198"/>
      <c r="AC8" s="198"/>
      <c r="AD8" s="198"/>
    </row>
    <row r="9" spans="1:31" x14ac:dyDescent="0.25">
      <c r="A9" s="185"/>
      <c r="B9" s="186"/>
      <c r="C9" s="59" t="s">
        <v>58</v>
      </c>
      <c r="D9" s="183" t="s">
        <v>216</v>
      </c>
      <c r="E9" s="184"/>
      <c r="F9" s="184"/>
      <c r="G9" s="184"/>
      <c r="H9" s="184"/>
      <c r="I9" s="184"/>
      <c r="J9" s="75"/>
      <c r="K9" s="183" t="s">
        <v>217</v>
      </c>
      <c r="L9" s="184"/>
      <c r="M9" s="184"/>
      <c r="N9" s="184"/>
      <c r="O9" s="184"/>
      <c r="P9" s="184"/>
      <c r="Q9" s="75"/>
      <c r="R9" s="204" t="s">
        <v>218</v>
      </c>
      <c r="S9" s="205"/>
      <c r="T9" s="205"/>
      <c r="U9" s="205"/>
      <c r="V9" s="205"/>
      <c r="W9" s="206"/>
      <c r="X9" s="106"/>
      <c r="Y9" s="183" t="s">
        <v>189</v>
      </c>
      <c r="Z9" s="184"/>
      <c r="AA9" s="184"/>
      <c r="AB9" s="184"/>
      <c r="AC9" s="184"/>
      <c r="AD9" s="184"/>
    </row>
    <row r="10" spans="1:31" ht="15.75" thickBot="1" x14ac:dyDescent="0.3">
      <c r="A10" s="185"/>
      <c r="B10" s="186"/>
      <c r="C10" s="60" t="s">
        <v>59</v>
      </c>
      <c r="D10" s="183" t="s">
        <v>219</v>
      </c>
      <c r="E10" s="184"/>
      <c r="F10" s="184"/>
      <c r="G10" s="184"/>
      <c r="H10" s="184"/>
      <c r="I10" s="184"/>
      <c r="J10" s="75"/>
      <c r="K10" s="187"/>
      <c r="L10" s="188"/>
      <c r="M10" s="188"/>
      <c r="N10" s="188"/>
      <c r="O10" s="188"/>
      <c r="P10" s="188"/>
      <c r="Q10" s="75"/>
      <c r="R10" s="187"/>
      <c r="S10" s="188"/>
      <c r="T10" s="188"/>
      <c r="U10" s="188"/>
      <c r="V10" s="188"/>
      <c r="W10" s="188"/>
      <c r="X10" s="106"/>
      <c r="Y10" s="187"/>
      <c r="Z10" s="188"/>
      <c r="AA10" s="188"/>
      <c r="AB10" s="188"/>
      <c r="AC10" s="188"/>
      <c r="AD10" s="188"/>
    </row>
    <row r="11" spans="1:31" ht="15.75" thickBot="1" x14ac:dyDescent="0.3">
      <c r="A11" s="38"/>
      <c r="B11" s="39"/>
      <c r="C11" s="39"/>
      <c r="D11" s="181"/>
      <c r="E11" s="182"/>
      <c r="F11" s="182"/>
      <c r="G11" s="182"/>
      <c r="H11" s="182"/>
      <c r="I11" s="182"/>
      <c r="J11" s="75"/>
      <c r="K11" s="181"/>
      <c r="L11" s="182"/>
      <c r="M11" s="182"/>
      <c r="N11" s="182"/>
      <c r="O11" s="182"/>
      <c r="P11" s="182"/>
      <c r="Q11" s="75"/>
      <c r="R11" s="181"/>
      <c r="S11" s="182"/>
      <c r="T11" s="182"/>
      <c r="U11" s="182"/>
      <c r="V11" s="182"/>
      <c r="W11" s="182"/>
      <c r="X11" s="106"/>
      <c r="Y11" s="181"/>
      <c r="Z11" s="182"/>
      <c r="AA11" s="182"/>
      <c r="AB11" s="182"/>
      <c r="AC11" s="182"/>
      <c r="AD11" s="182"/>
    </row>
    <row r="12" spans="1:31" ht="15" customHeight="1" x14ac:dyDescent="0.25">
      <c r="A12" s="210" t="s">
        <v>60</v>
      </c>
      <c r="B12" s="213" t="s">
        <v>61</v>
      </c>
      <c r="C12" s="62" t="s">
        <v>62</v>
      </c>
      <c r="D12" s="216" t="s">
        <v>140</v>
      </c>
      <c r="E12" s="217"/>
      <c r="F12" s="217"/>
      <c r="G12" s="217"/>
      <c r="H12" s="217"/>
      <c r="I12" s="217"/>
      <c r="J12" s="75"/>
      <c r="K12" s="216" t="s">
        <v>63</v>
      </c>
      <c r="L12" s="217"/>
      <c r="M12" s="217"/>
      <c r="N12" s="217"/>
      <c r="O12" s="217"/>
      <c r="P12" s="217"/>
      <c r="Q12" s="75"/>
      <c r="R12" s="216" t="s">
        <v>64</v>
      </c>
      <c r="S12" s="217"/>
      <c r="T12" s="217"/>
      <c r="U12" s="217"/>
      <c r="V12" s="217"/>
      <c r="W12" s="217"/>
      <c r="X12" s="106"/>
      <c r="Y12" s="216" t="s">
        <v>65</v>
      </c>
      <c r="Z12" s="217"/>
      <c r="AA12" s="217"/>
      <c r="AB12" s="217"/>
      <c r="AC12" s="217"/>
      <c r="AD12" s="217"/>
    </row>
    <row r="13" spans="1:31" x14ac:dyDescent="0.25">
      <c r="A13" s="211"/>
      <c r="B13" s="214"/>
      <c r="C13" s="63" t="s">
        <v>66</v>
      </c>
      <c r="D13" s="199">
        <v>180</v>
      </c>
      <c r="E13" s="200"/>
      <c r="F13" s="200"/>
      <c r="G13" s="200"/>
      <c r="H13" s="200"/>
      <c r="I13" s="200"/>
      <c r="J13" s="75"/>
      <c r="K13" s="199">
        <v>260</v>
      </c>
      <c r="L13" s="200"/>
      <c r="M13" s="200"/>
      <c r="N13" s="200"/>
      <c r="O13" s="200"/>
      <c r="P13" s="200"/>
      <c r="Q13" s="75"/>
      <c r="R13" s="199">
        <v>18</v>
      </c>
      <c r="S13" s="200"/>
      <c r="T13" s="200"/>
      <c r="U13" s="200"/>
      <c r="V13" s="200"/>
      <c r="W13" s="200"/>
      <c r="X13" s="106"/>
      <c r="Y13" s="199">
        <v>8</v>
      </c>
      <c r="Z13" s="200"/>
      <c r="AA13" s="200"/>
      <c r="AB13" s="200"/>
      <c r="AC13" s="200"/>
      <c r="AD13" s="200"/>
    </row>
    <row r="14" spans="1:31" ht="15.75" thickBot="1" x14ac:dyDescent="0.3">
      <c r="A14" s="212"/>
      <c r="B14" s="215"/>
      <c r="C14" s="64" t="s">
        <v>67</v>
      </c>
      <c r="D14" s="192" t="s">
        <v>220</v>
      </c>
      <c r="E14" s="193"/>
      <c r="F14" s="193"/>
      <c r="G14" s="193"/>
      <c r="H14" s="193"/>
      <c r="I14" s="193"/>
      <c r="J14" s="75"/>
      <c r="K14" s="192" t="s">
        <v>221</v>
      </c>
      <c r="L14" s="193"/>
      <c r="M14" s="193"/>
      <c r="N14" s="193"/>
      <c r="O14" s="193"/>
      <c r="P14" s="193"/>
      <c r="Q14" s="75"/>
      <c r="R14" s="192" t="s">
        <v>222</v>
      </c>
      <c r="S14" s="193"/>
      <c r="T14" s="193"/>
      <c r="U14" s="193"/>
      <c r="V14" s="193"/>
      <c r="W14" s="193"/>
      <c r="X14" s="106"/>
      <c r="Y14" s="192" t="s">
        <v>223</v>
      </c>
      <c r="Z14" s="193"/>
      <c r="AA14" s="193"/>
      <c r="AB14" s="193"/>
      <c r="AC14" s="193"/>
      <c r="AD14" s="193"/>
    </row>
    <row r="15" spans="1:31" ht="15.75" thickBot="1" x14ac:dyDescent="0.3">
      <c r="A15" s="38"/>
      <c r="B15" s="39"/>
      <c r="C15" s="39"/>
      <c r="D15" s="181"/>
      <c r="E15" s="182"/>
      <c r="F15" s="182"/>
      <c r="G15" s="182"/>
      <c r="H15" s="182"/>
      <c r="I15" s="182"/>
      <c r="J15" s="75"/>
      <c r="K15" s="181"/>
      <c r="L15" s="182"/>
      <c r="M15" s="182"/>
      <c r="N15" s="182"/>
      <c r="O15" s="182"/>
      <c r="P15" s="182"/>
      <c r="Q15" s="75"/>
      <c r="R15" s="181"/>
      <c r="S15" s="182"/>
      <c r="T15" s="182"/>
      <c r="U15" s="182"/>
      <c r="V15" s="182"/>
      <c r="W15" s="182"/>
      <c r="X15" s="106"/>
      <c r="Y15" s="181"/>
      <c r="Z15" s="182"/>
      <c r="AA15" s="182"/>
      <c r="AB15" s="182"/>
      <c r="AC15" s="182"/>
      <c r="AD15" s="182"/>
    </row>
    <row r="16" spans="1:31" ht="15.75" customHeight="1" thickBot="1" x14ac:dyDescent="0.3">
      <c r="A16" s="221" t="s">
        <v>68</v>
      </c>
      <c r="B16" s="224" t="s">
        <v>69</v>
      </c>
      <c r="C16" s="40" t="s">
        <v>70</v>
      </c>
      <c r="D16" s="76" t="s">
        <v>71</v>
      </c>
      <c r="E16" s="77" t="s">
        <v>75</v>
      </c>
      <c r="F16" s="227" t="s">
        <v>72</v>
      </c>
      <c r="G16" s="228"/>
      <c r="H16" s="78" t="s">
        <v>73</v>
      </c>
      <c r="I16" s="78" t="s">
        <v>74</v>
      </c>
      <c r="J16" s="75"/>
      <c r="K16" s="76" t="s">
        <v>71</v>
      </c>
      <c r="L16" s="77" t="s">
        <v>75</v>
      </c>
      <c r="M16" s="227" t="s">
        <v>72</v>
      </c>
      <c r="N16" s="228"/>
      <c r="O16" s="78" t="s">
        <v>73</v>
      </c>
      <c r="P16" s="78" t="s">
        <v>74</v>
      </c>
      <c r="Q16" s="75"/>
      <c r="R16" s="76" t="s">
        <v>71</v>
      </c>
      <c r="S16" s="77" t="s">
        <v>75</v>
      </c>
      <c r="T16" s="227" t="s">
        <v>72</v>
      </c>
      <c r="U16" s="228"/>
      <c r="V16" s="78" t="s">
        <v>73</v>
      </c>
      <c r="W16" s="79" t="s">
        <v>74</v>
      </c>
      <c r="X16" s="106"/>
      <c r="Y16" s="76" t="s">
        <v>71</v>
      </c>
      <c r="Z16" s="77" t="s">
        <v>75</v>
      </c>
      <c r="AA16" s="227" t="s">
        <v>72</v>
      </c>
      <c r="AB16" s="228"/>
      <c r="AC16" s="79" t="s">
        <v>73</v>
      </c>
      <c r="AD16" s="79" t="s">
        <v>74</v>
      </c>
    </row>
    <row r="17" spans="1:30" ht="15" customHeight="1" x14ac:dyDescent="0.35">
      <c r="A17" s="222"/>
      <c r="B17" s="225"/>
      <c r="C17" s="41" t="s">
        <v>76</v>
      </c>
      <c r="D17" s="80" t="s">
        <v>141</v>
      </c>
      <c r="E17" s="86" t="s">
        <v>161</v>
      </c>
      <c r="F17" s="229"/>
      <c r="G17" s="230"/>
      <c r="H17" s="83">
        <v>200</v>
      </c>
      <c r="I17" s="83" t="s">
        <v>224</v>
      </c>
      <c r="J17" s="75"/>
      <c r="K17" s="89" t="s">
        <v>157</v>
      </c>
      <c r="L17" s="81">
        <v>0.34</v>
      </c>
      <c r="M17" s="232" t="s">
        <v>77</v>
      </c>
      <c r="N17" s="233"/>
      <c r="O17" s="82">
        <f>100*100/34</f>
        <v>294.11764705882354</v>
      </c>
      <c r="P17" s="83" t="s">
        <v>194</v>
      </c>
      <c r="Q17" s="75"/>
      <c r="R17" s="84" t="s">
        <v>195</v>
      </c>
      <c r="S17" s="81">
        <v>0.34</v>
      </c>
      <c r="T17" s="307"/>
      <c r="U17" s="308"/>
      <c r="V17" s="87">
        <v>470.6</v>
      </c>
      <c r="W17" s="83" t="s">
        <v>196</v>
      </c>
      <c r="X17" s="106"/>
      <c r="Y17" s="89" t="s">
        <v>78</v>
      </c>
      <c r="Z17" s="85">
        <v>0.46</v>
      </c>
      <c r="AA17" s="234" t="s">
        <v>77</v>
      </c>
      <c r="AB17" s="235"/>
      <c r="AC17" s="82">
        <f>120*100/46</f>
        <v>260.86956521739131</v>
      </c>
      <c r="AD17" s="83" t="s">
        <v>197</v>
      </c>
    </row>
    <row r="18" spans="1:30" x14ac:dyDescent="0.25">
      <c r="A18" s="222"/>
      <c r="B18" s="225"/>
      <c r="C18" s="42" t="s">
        <v>79</v>
      </c>
      <c r="D18" s="80"/>
      <c r="E18" s="86"/>
      <c r="F18" s="229"/>
      <c r="G18" s="230"/>
      <c r="H18" s="87"/>
      <c r="I18" s="83"/>
      <c r="J18" s="75"/>
      <c r="K18" s="80"/>
      <c r="L18" s="86"/>
      <c r="M18" s="229"/>
      <c r="N18" s="230"/>
      <c r="O18" s="87"/>
      <c r="P18" s="87"/>
      <c r="Q18" s="75"/>
      <c r="R18" s="84" t="s">
        <v>80</v>
      </c>
      <c r="S18" s="86">
        <v>0.46</v>
      </c>
      <c r="T18" s="307"/>
      <c r="U18" s="308"/>
      <c r="V18" s="87">
        <v>260.89999999999998</v>
      </c>
      <c r="W18" s="88" t="s">
        <v>198</v>
      </c>
      <c r="X18" s="106"/>
      <c r="Y18" s="80"/>
      <c r="Z18" s="89"/>
      <c r="AA18" s="231"/>
      <c r="AB18" s="230"/>
      <c r="AC18" s="87"/>
      <c r="AD18" s="87"/>
    </row>
    <row r="19" spans="1:30" ht="18" x14ac:dyDescent="0.35">
      <c r="A19" s="222"/>
      <c r="B19" s="225"/>
      <c r="C19" s="42" t="s">
        <v>81</v>
      </c>
      <c r="D19" s="80" t="s">
        <v>225</v>
      </c>
      <c r="E19" s="86">
        <v>0.5</v>
      </c>
      <c r="F19" s="229">
        <v>1</v>
      </c>
      <c r="G19" s="230"/>
      <c r="H19" s="87">
        <v>200</v>
      </c>
      <c r="I19" s="83" t="s">
        <v>226</v>
      </c>
      <c r="J19" s="75"/>
      <c r="K19" s="80"/>
      <c r="L19" s="87"/>
      <c r="M19" s="229"/>
      <c r="N19" s="230"/>
      <c r="O19" s="82"/>
      <c r="P19" s="87"/>
      <c r="Q19" s="75"/>
      <c r="R19" s="84" t="s">
        <v>199</v>
      </c>
      <c r="S19" s="86">
        <v>0.5</v>
      </c>
      <c r="T19" s="307"/>
      <c r="U19" s="308"/>
      <c r="V19" s="87">
        <v>160</v>
      </c>
      <c r="W19" s="88" t="s">
        <v>198</v>
      </c>
      <c r="X19" s="106"/>
      <c r="Y19" s="80"/>
      <c r="Z19" s="87"/>
      <c r="AA19" s="229"/>
      <c r="AB19" s="230"/>
      <c r="AC19" s="87"/>
      <c r="AD19" s="87"/>
    </row>
    <row r="20" spans="1:30" ht="18" x14ac:dyDescent="0.35">
      <c r="A20" s="222"/>
      <c r="B20" s="225"/>
      <c r="C20" s="42" t="s">
        <v>82</v>
      </c>
      <c r="D20" s="80"/>
      <c r="E20" s="87"/>
      <c r="F20" s="229"/>
      <c r="G20" s="230"/>
      <c r="H20" s="87"/>
      <c r="I20" s="87"/>
      <c r="J20" s="75"/>
      <c r="K20" s="80"/>
      <c r="L20" s="87"/>
      <c r="M20" s="229"/>
      <c r="N20" s="230"/>
      <c r="O20" s="87"/>
      <c r="P20" s="87"/>
      <c r="Q20" s="75"/>
      <c r="R20" s="84"/>
      <c r="S20" s="87"/>
      <c r="T20" s="229"/>
      <c r="U20" s="230"/>
      <c r="V20" s="87"/>
      <c r="W20" s="87"/>
      <c r="X20" s="106"/>
      <c r="Y20" s="80" t="s">
        <v>83</v>
      </c>
      <c r="Z20" s="89" t="s">
        <v>200</v>
      </c>
      <c r="AA20" s="231" t="s">
        <v>159</v>
      </c>
      <c r="AB20" s="230"/>
      <c r="AC20" s="87" t="s">
        <v>163</v>
      </c>
      <c r="AD20" s="87" t="s">
        <v>201</v>
      </c>
    </row>
    <row r="21" spans="1:30" x14ac:dyDescent="0.25">
      <c r="A21" s="222"/>
      <c r="B21" s="225"/>
      <c r="C21" s="42" t="s">
        <v>84</v>
      </c>
      <c r="D21" s="80"/>
      <c r="E21" s="86"/>
      <c r="F21" s="229"/>
      <c r="G21" s="230"/>
      <c r="H21" s="87"/>
      <c r="I21" s="87"/>
      <c r="J21" s="75"/>
      <c r="K21" s="80"/>
      <c r="L21" s="87"/>
      <c r="M21" s="229"/>
      <c r="N21" s="230"/>
      <c r="O21" s="87"/>
      <c r="P21" s="87"/>
      <c r="Q21" s="75"/>
      <c r="R21" s="84"/>
      <c r="S21" s="90"/>
      <c r="T21" s="229"/>
      <c r="U21" s="230"/>
      <c r="V21" s="87"/>
      <c r="W21" s="87"/>
      <c r="X21" s="106"/>
      <c r="Y21" s="80"/>
      <c r="Z21" s="87"/>
      <c r="AA21" s="229"/>
      <c r="AB21" s="230"/>
      <c r="AC21" s="87"/>
      <c r="AD21" s="87"/>
    </row>
    <row r="22" spans="1:30" x14ac:dyDescent="0.25">
      <c r="A22" s="222"/>
      <c r="B22" s="225"/>
      <c r="C22" s="42" t="s">
        <v>85</v>
      </c>
      <c r="D22" s="80"/>
      <c r="E22" s="87"/>
      <c r="F22" s="229"/>
      <c r="G22" s="230"/>
      <c r="H22" s="87"/>
      <c r="I22" s="87"/>
      <c r="J22" s="75"/>
      <c r="K22" s="80"/>
      <c r="L22" s="87"/>
      <c r="M22" s="229"/>
      <c r="N22" s="230"/>
      <c r="O22" s="87"/>
      <c r="P22" s="87"/>
      <c r="Q22" s="75"/>
      <c r="R22" s="80"/>
      <c r="S22" s="87"/>
      <c r="T22" s="229"/>
      <c r="U22" s="230"/>
      <c r="V22" s="87"/>
      <c r="W22" s="87"/>
      <c r="X22" s="106"/>
      <c r="Y22" s="80"/>
      <c r="Z22" s="87"/>
      <c r="AA22" s="229"/>
      <c r="AB22" s="230"/>
      <c r="AC22" s="87"/>
      <c r="AD22" s="87"/>
    </row>
    <row r="23" spans="1:30" ht="15.75" thickBot="1" x14ac:dyDescent="0.3">
      <c r="A23" s="222"/>
      <c r="B23" s="225"/>
      <c r="C23" s="43" t="s">
        <v>142</v>
      </c>
      <c r="D23" s="91"/>
      <c r="E23" s="92"/>
      <c r="F23" s="236"/>
      <c r="G23" s="237"/>
      <c r="H23" s="92"/>
      <c r="I23" s="92"/>
      <c r="J23" s="75"/>
      <c r="K23" s="91"/>
      <c r="L23" s="92"/>
      <c r="M23" s="236"/>
      <c r="N23" s="237"/>
      <c r="O23" s="92"/>
      <c r="P23" s="92"/>
      <c r="Q23" s="75"/>
      <c r="R23" s="91" t="s">
        <v>87</v>
      </c>
      <c r="S23" s="93">
        <v>0.3</v>
      </c>
      <c r="T23" s="236"/>
      <c r="U23" s="237"/>
      <c r="V23" s="92">
        <f>0.3*1.3*10</f>
        <v>3.9000000000000004</v>
      </c>
      <c r="W23" s="92" t="s">
        <v>201</v>
      </c>
      <c r="X23" s="106"/>
      <c r="Y23" s="91"/>
      <c r="Z23" s="92"/>
      <c r="AA23" s="236"/>
      <c r="AB23" s="237"/>
      <c r="AC23" s="92"/>
      <c r="AD23" s="92"/>
    </row>
    <row r="24" spans="1:30" ht="18" thickBot="1" x14ac:dyDescent="0.3">
      <c r="A24" s="222"/>
      <c r="B24" s="225"/>
      <c r="C24" s="40" t="s">
        <v>89</v>
      </c>
      <c r="D24" s="76" t="s">
        <v>71</v>
      </c>
      <c r="E24" s="78" t="s">
        <v>90</v>
      </c>
      <c r="F24" s="227" t="s">
        <v>72</v>
      </c>
      <c r="G24" s="228"/>
      <c r="H24" s="78" t="s">
        <v>203</v>
      </c>
      <c r="I24" s="78" t="s">
        <v>74</v>
      </c>
      <c r="J24" s="75"/>
      <c r="K24" s="76" t="s">
        <v>71</v>
      </c>
      <c r="L24" s="78" t="s">
        <v>90</v>
      </c>
      <c r="M24" s="227" t="s">
        <v>72</v>
      </c>
      <c r="N24" s="228"/>
      <c r="O24" s="78" t="s">
        <v>203</v>
      </c>
      <c r="P24" s="78" t="s">
        <v>74</v>
      </c>
      <c r="Q24" s="75"/>
      <c r="R24" s="76" t="s">
        <v>71</v>
      </c>
      <c r="S24" s="78" t="s">
        <v>90</v>
      </c>
      <c r="T24" s="227" t="s">
        <v>72</v>
      </c>
      <c r="U24" s="228"/>
      <c r="V24" s="78" t="s">
        <v>203</v>
      </c>
      <c r="W24" s="78" t="s">
        <v>74</v>
      </c>
      <c r="X24" s="106"/>
      <c r="Y24" s="76" t="s">
        <v>71</v>
      </c>
      <c r="Z24" s="78" t="s">
        <v>90</v>
      </c>
      <c r="AA24" s="227" t="s">
        <v>72</v>
      </c>
      <c r="AB24" s="228"/>
      <c r="AC24" s="78" t="s">
        <v>203</v>
      </c>
      <c r="AD24" s="78" t="s">
        <v>74</v>
      </c>
    </row>
    <row r="25" spans="1:30" x14ac:dyDescent="0.25">
      <c r="A25" s="222"/>
      <c r="B25" s="225"/>
      <c r="C25" s="41" t="s">
        <v>92</v>
      </c>
      <c r="D25" s="89"/>
      <c r="E25" s="83"/>
      <c r="F25" s="232"/>
      <c r="G25" s="233"/>
      <c r="H25" s="83"/>
      <c r="I25" s="83"/>
      <c r="J25" s="75"/>
      <c r="K25" s="89"/>
      <c r="L25" s="83"/>
      <c r="M25" s="232"/>
      <c r="N25" s="233"/>
      <c r="O25" s="83"/>
      <c r="P25" s="83"/>
      <c r="Q25" s="75"/>
      <c r="R25" s="89"/>
      <c r="S25" s="83"/>
      <c r="T25" s="232"/>
      <c r="U25" s="233"/>
      <c r="V25" s="83"/>
      <c r="W25" s="83"/>
      <c r="X25" s="106"/>
      <c r="Y25" s="89"/>
      <c r="Z25" s="83"/>
      <c r="AA25" s="232"/>
      <c r="AB25" s="233"/>
      <c r="AC25" s="83"/>
      <c r="AD25" s="83"/>
    </row>
    <row r="26" spans="1:30" ht="15.75" thickBot="1" x14ac:dyDescent="0.3">
      <c r="A26" s="223"/>
      <c r="B26" s="226"/>
      <c r="C26" s="44" t="s">
        <v>143</v>
      </c>
      <c r="D26" s="94"/>
      <c r="E26" s="95"/>
      <c r="F26" s="238"/>
      <c r="G26" s="239"/>
      <c r="H26" s="95"/>
      <c r="I26" s="95"/>
      <c r="J26" s="75"/>
      <c r="K26" s="94"/>
      <c r="L26" s="95"/>
      <c r="M26" s="238"/>
      <c r="N26" s="239"/>
      <c r="O26" s="95"/>
      <c r="P26" s="95"/>
      <c r="Q26" s="75"/>
      <c r="R26" s="94"/>
      <c r="S26" s="95"/>
      <c r="T26" s="238"/>
      <c r="U26" s="239"/>
      <c r="V26" s="95"/>
      <c r="W26" s="95"/>
      <c r="X26" s="106"/>
      <c r="Y26" s="94"/>
      <c r="Z26" s="95"/>
      <c r="AA26" s="238"/>
      <c r="AB26" s="239"/>
      <c r="AC26" s="95"/>
      <c r="AD26" s="95"/>
    </row>
    <row r="27" spans="1:30" ht="15.75" thickBot="1" x14ac:dyDescent="0.3">
      <c r="A27" s="45"/>
      <c r="B27" s="39"/>
      <c r="C27" s="39"/>
      <c r="D27" s="181"/>
      <c r="E27" s="182"/>
      <c r="F27" s="182"/>
      <c r="G27" s="182"/>
      <c r="H27" s="182"/>
      <c r="I27" s="182"/>
      <c r="J27" s="75"/>
      <c r="K27" s="181"/>
      <c r="L27" s="182"/>
      <c r="M27" s="182"/>
      <c r="N27" s="182"/>
      <c r="O27" s="182"/>
      <c r="P27" s="182"/>
      <c r="Q27" s="75"/>
      <c r="R27" s="181"/>
      <c r="S27" s="182"/>
      <c r="T27" s="182"/>
      <c r="U27" s="182"/>
      <c r="V27" s="182"/>
      <c r="W27" s="182"/>
      <c r="X27" s="106"/>
      <c r="Y27" s="181"/>
      <c r="Z27" s="182"/>
      <c r="AA27" s="182"/>
      <c r="AB27" s="182"/>
      <c r="AC27" s="182"/>
      <c r="AD27" s="182"/>
    </row>
    <row r="28" spans="1:30" ht="18.75" customHeight="1" thickBot="1" x14ac:dyDescent="0.3">
      <c r="A28" s="244" t="s">
        <v>94</v>
      </c>
      <c r="B28" s="224" t="s">
        <v>95</v>
      </c>
      <c r="C28" s="40"/>
      <c r="D28" s="96" t="s">
        <v>71</v>
      </c>
      <c r="E28" s="78" t="s">
        <v>72</v>
      </c>
      <c r="F28" s="227" t="s">
        <v>96</v>
      </c>
      <c r="G28" s="228"/>
      <c r="H28" s="243" t="s">
        <v>74</v>
      </c>
      <c r="I28" s="243"/>
      <c r="J28" s="75"/>
      <c r="K28" s="96" t="s">
        <v>71</v>
      </c>
      <c r="L28" s="78" t="s">
        <v>72</v>
      </c>
      <c r="M28" s="227" t="s">
        <v>96</v>
      </c>
      <c r="N28" s="228"/>
      <c r="O28" s="243" t="s">
        <v>74</v>
      </c>
      <c r="P28" s="243"/>
      <c r="Q28" s="75"/>
      <c r="R28" s="96" t="s">
        <v>71</v>
      </c>
      <c r="S28" s="79" t="s">
        <v>72</v>
      </c>
      <c r="T28" s="227" t="s">
        <v>96</v>
      </c>
      <c r="U28" s="228"/>
      <c r="V28" s="243" t="s">
        <v>74</v>
      </c>
      <c r="W28" s="243"/>
      <c r="X28" s="106"/>
      <c r="Y28" s="96" t="s">
        <v>71</v>
      </c>
      <c r="Z28" s="78" t="s">
        <v>72</v>
      </c>
      <c r="AA28" s="227" t="s">
        <v>96</v>
      </c>
      <c r="AB28" s="228"/>
      <c r="AC28" s="243" t="s">
        <v>74</v>
      </c>
      <c r="AD28" s="243"/>
    </row>
    <row r="29" spans="1:30" ht="17.25" customHeight="1" x14ac:dyDescent="0.25">
      <c r="A29" s="245"/>
      <c r="B29" s="225"/>
      <c r="C29" s="41" t="s">
        <v>97</v>
      </c>
      <c r="D29" s="109" t="s">
        <v>144</v>
      </c>
      <c r="E29" s="83" t="s">
        <v>98</v>
      </c>
      <c r="F29" s="232" t="s">
        <v>145</v>
      </c>
      <c r="G29" s="233"/>
      <c r="H29" s="240" t="s">
        <v>227</v>
      </c>
      <c r="I29" s="240"/>
      <c r="J29" s="75"/>
      <c r="K29" s="109" t="s">
        <v>146</v>
      </c>
      <c r="L29" s="83" t="s">
        <v>98</v>
      </c>
      <c r="M29" s="232">
        <v>0.03</v>
      </c>
      <c r="N29" s="233"/>
      <c r="O29" s="240" t="s">
        <v>204</v>
      </c>
      <c r="P29" s="240"/>
      <c r="Q29" s="75"/>
      <c r="R29" s="97" t="s">
        <v>100</v>
      </c>
      <c r="S29" s="88" t="s">
        <v>101</v>
      </c>
      <c r="T29" s="232">
        <v>2.5</v>
      </c>
      <c r="U29" s="233"/>
      <c r="V29" s="240" t="s">
        <v>205</v>
      </c>
      <c r="W29" s="240"/>
      <c r="X29" s="106"/>
      <c r="Y29" s="241" t="s">
        <v>102</v>
      </c>
      <c r="Z29" s="242"/>
      <c r="AA29" s="232">
        <v>1</v>
      </c>
      <c r="AB29" s="233"/>
      <c r="AC29" s="240" t="s">
        <v>206</v>
      </c>
      <c r="AD29" s="240"/>
    </row>
    <row r="30" spans="1:30" ht="17.25" customHeight="1" x14ac:dyDescent="0.25">
      <c r="A30" s="245"/>
      <c r="B30" s="225"/>
      <c r="C30" s="42" t="s">
        <v>97</v>
      </c>
      <c r="D30" s="99"/>
      <c r="E30" s="83"/>
      <c r="F30" s="229"/>
      <c r="G30" s="230"/>
      <c r="H30" s="240"/>
      <c r="I30" s="240"/>
      <c r="J30" s="75"/>
      <c r="K30" s="99"/>
      <c r="L30" s="87"/>
      <c r="M30" s="229"/>
      <c r="N30" s="230"/>
      <c r="O30" s="249"/>
      <c r="P30" s="249"/>
      <c r="Q30" s="75"/>
      <c r="R30" s="98" t="s">
        <v>103</v>
      </c>
      <c r="S30" s="88" t="s">
        <v>101</v>
      </c>
      <c r="T30" s="229">
        <v>0.2</v>
      </c>
      <c r="U30" s="230"/>
      <c r="V30" s="240" t="s">
        <v>205</v>
      </c>
      <c r="W30" s="240"/>
      <c r="X30" s="106"/>
      <c r="Y30" s="250"/>
      <c r="Z30" s="251"/>
      <c r="AA30" s="229"/>
      <c r="AB30" s="230"/>
      <c r="AC30" s="229"/>
      <c r="AD30" s="230"/>
    </row>
    <row r="31" spans="1:30" x14ac:dyDescent="0.25">
      <c r="A31" s="245"/>
      <c r="B31" s="225"/>
      <c r="C31" s="42" t="s">
        <v>104</v>
      </c>
      <c r="D31" s="99"/>
      <c r="E31" s="83"/>
      <c r="F31" s="229"/>
      <c r="G31" s="230"/>
      <c r="H31" s="240"/>
      <c r="I31" s="240"/>
      <c r="J31" s="75"/>
      <c r="K31" s="99" t="s">
        <v>147</v>
      </c>
      <c r="L31" s="87" t="s">
        <v>98</v>
      </c>
      <c r="M31" s="229">
        <v>0.6</v>
      </c>
      <c r="N31" s="230"/>
      <c r="O31" s="249" t="s">
        <v>207</v>
      </c>
      <c r="P31" s="249"/>
      <c r="Q31" s="75"/>
      <c r="R31" s="99"/>
      <c r="S31" s="110"/>
      <c r="T31" s="229"/>
      <c r="U31" s="230"/>
      <c r="V31" s="249"/>
      <c r="W31" s="249"/>
      <c r="X31" s="106"/>
      <c r="Y31" s="250" t="s">
        <v>106</v>
      </c>
      <c r="Z31" s="251"/>
      <c r="AA31" s="229">
        <v>0.5</v>
      </c>
      <c r="AB31" s="230"/>
      <c r="AC31" s="249" t="s">
        <v>201</v>
      </c>
      <c r="AD31" s="249"/>
    </row>
    <row r="32" spans="1:30" x14ac:dyDescent="0.25">
      <c r="A32" s="245"/>
      <c r="B32" s="225"/>
      <c r="C32" s="42" t="s">
        <v>107</v>
      </c>
      <c r="D32" s="99"/>
      <c r="E32" s="87"/>
      <c r="F32" s="249"/>
      <c r="G32" s="249"/>
      <c r="H32" s="240"/>
      <c r="I32" s="240"/>
      <c r="J32" s="75"/>
      <c r="K32" s="99" t="s">
        <v>148</v>
      </c>
      <c r="L32" s="87"/>
      <c r="M32" s="249">
        <v>0.6</v>
      </c>
      <c r="N32" s="249"/>
      <c r="O32" s="249" t="s">
        <v>208</v>
      </c>
      <c r="P32" s="249"/>
      <c r="Q32" s="75"/>
      <c r="R32" s="98" t="s">
        <v>109</v>
      </c>
      <c r="S32" s="88" t="s">
        <v>101</v>
      </c>
      <c r="T32" s="249">
        <v>0.4</v>
      </c>
      <c r="U32" s="249"/>
      <c r="V32" s="249" t="s">
        <v>209</v>
      </c>
      <c r="W32" s="249"/>
      <c r="X32" s="106"/>
      <c r="Y32" s="252" t="s">
        <v>181</v>
      </c>
      <c r="Z32" s="252"/>
      <c r="AA32" s="249">
        <v>0.5</v>
      </c>
      <c r="AB32" s="249"/>
      <c r="AC32" s="249" t="s">
        <v>210</v>
      </c>
      <c r="AD32" s="249"/>
    </row>
    <row r="33" spans="1:31" x14ac:dyDescent="0.25">
      <c r="A33" s="245"/>
      <c r="B33" s="225"/>
      <c r="C33" s="42" t="s">
        <v>107</v>
      </c>
      <c r="D33" s="99" t="s">
        <v>149</v>
      </c>
      <c r="E33" s="87"/>
      <c r="F33" s="229">
        <v>0.7</v>
      </c>
      <c r="G33" s="230"/>
      <c r="H33" s="240" t="s">
        <v>201</v>
      </c>
      <c r="I33" s="240"/>
      <c r="J33" s="75"/>
      <c r="K33" s="99" t="s">
        <v>180</v>
      </c>
      <c r="L33" s="87"/>
      <c r="M33" s="229">
        <v>0.7</v>
      </c>
      <c r="N33" s="230"/>
      <c r="O33" s="249" t="s">
        <v>208</v>
      </c>
      <c r="P33" s="249"/>
      <c r="Q33" s="75"/>
      <c r="R33" s="99"/>
      <c r="S33" s="110"/>
      <c r="T33" s="229"/>
      <c r="U33" s="230"/>
      <c r="V33" s="229"/>
      <c r="W33" s="230"/>
      <c r="X33" s="106"/>
      <c r="Y33" s="99"/>
      <c r="Z33" s="87"/>
      <c r="AA33" s="229"/>
      <c r="AB33" s="230"/>
      <c r="AC33" s="229"/>
      <c r="AD33" s="230"/>
    </row>
    <row r="34" spans="1:31" ht="15.75" thickBot="1" x14ac:dyDescent="0.3">
      <c r="A34" s="245"/>
      <c r="B34" s="225"/>
      <c r="C34" s="44" t="s">
        <v>107</v>
      </c>
      <c r="D34" s="100" t="s">
        <v>181</v>
      </c>
      <c r="E34" s="95"/>
      <c r="F34" s="238">
        <v>0.75</v>
      </c>
      <c r="G34" s="239"/>
      <c r="H34" s="240" t="s">
        <v>201</v>
      </c>
      <c r="I34" s="240"/>
      <c r="J34" s="75"/>
      <c r="K34" s="100"/>
      <c r="L34" s="95"/>
      <c r="M34" s="238"/>
      <c r="N34" s="239"/>
      <c r="O34" s="238"/>
      <c r="P34" s="239"/>
      <c r="Q34" s="75"/>
      <c r="R34" s="100"/>
      <c r="S34" s="95"/>
      <c r="T34" s="238"/>
      <c r="U34" s="239"/>
      <c r="V34" s="238"/>
      <c r="W34" s="239"/>
      <c r="X34" s="106"/>
      <c r="Y34" s="100"/>
      <c r="Z34" s="95"/>
      <c r="AA34" s="238"/>
      <c r="AB34" s="239"/>
      <c r="AC34" s="238"/>
      <c r="AD34" s="239"/>
    </row>
    <row r="35" spans="1:31" s="47" customFormat="1" ht="15.75" thickBot="1" x14ac:dyDescent="0.3">
      <c r="A35" s="246"/>
      <c r="B35" s="226"/>
      <c r="C35" s="40" t="s">
        <v>112</v>
      </c>
      <c r="D35" s="309"/>
      <c r="E35" s="254"/>
      <c r="F35" s="254"/>
      <c r="G35" s="228"/>
      <c r="H35" s="253"/>
      <c r="I35" s="253"/>
      <c r="J35" s="101"/>
      <c r="K35" s="254"/>
      <c r="L35" s="254"/>
      <c r="M35" s="254"/>
      <c r="N35" s="228"/>
      <c r="O35" s="253"/>
      <c r="P35" s="253"/>
      <c r="Q35" s="101"/>
      <c r="R35" s="254"/>
      <c r="S35" s="254"/>
      <c r="T35" s="254"/>
      <c r="U35" s="228"/>
      <c r="V35" s="253"/>
      <c r="W35" s="253"/>
      <c r="X35" s="101"/>
      <c r="Y35" s="254"/>
      <c r="Z35" s="254"/>
      <c r="AA35" s="254"/>
      <c r="AB35" s="228"/>
      <c r="AC35" s="253"/>
      <c r="AD35" s="253"/>
      <c r="AE35" s="46"/>
    </row>
    <row r="36" spans="1:31" ht="15.75" thickBot="1" x14ac:dyDescent="0.3">
      <c r="A36" s="38"/>
      <c r="B36" s="39"/>
      <c r="C36" s="39"/>
      <c r="D36" s="181"/>
      <c r="E36" s="182"/>
      <c r="F36" s="182"/>
      <c r="G36" s="182"/>
      <c r="H36" s="182"/>
      <c r="I36" s="182"/>
      <c r="J36" s="75"/>
      <c r="K36" s="181"/>
      <c r="L36" s="182"/>
      <c r="M36" s="182"/>
      <c r="N36" s="182"/>
      <c r="O36" s="182"/>
      <c r="P36" s="182"/>
      <c r="Q36" s="75"/>
      <c r="R36" s="181"/>
      <c r="S36" s="182"/>
      <c r="T36" s="182"/>
      <c r="U36" s="182"/>
      <c r="V36" s="182"/>
      <c r="W36" s="182"/>
      <c r="X36" s="106"/>
      <c r="Y36" s="181"/>
      <c r="Z36" s="182"/>
      <c r="AA36" s="182"/>
      <c r="AB36" s="182"/>
      <c r="AC36" s="182"/>
      <c r="AD36" s="182"/>
    </row>
    <row r="37" spans="1:31" ht="15.75" customHeight="1" thickBot="1" x14ac:dyDescent="0.3">
      <c r="A37" s="255" t="s">
        <v>113</v>
      </c>
      <c r="B37" s="256" t="s">
        <v>114</v>
      </c>
      <c r="C37" s="62"/>
      <c r="D37" s="259" t="s">
        <v>115</v>
      </c>
      <c r="E37" s="260"/>
      <c r="F37" s="261" t="s">
        <v>67</v>
      </c>
      <c r="G37" s="261"/>
      <c r="H37" s="261"/>
      <c r="I37" s="261"/>
      <c r="J37" s="111" t="s">
        <v>115</v>
      </c>
      <c r="K37" s="259" t="s">
        <v>115</v>
      </c>
      <c r="L37" s="260"/>
      <c r="M37" s="261" t="s">
        <v>67</v>
      </c>
      <c r="N37" s="261"/>
      <c r="O37" s="261"/>
      <c r="P37" s="261"/>
      <c r="Q37" s="111"/>
      <c r="R37" s="259" t="s">
        <v>115</v>
      </c>
      <c r="S37" s="260"/>
      <c r="T37" s="261" t="s">
        <v>67</v>
      </c>
      <c r="U37" s="261"/>
      <c r="V37" s="261"/>
      <c r="W37" s="261"/>
      <c r="X37" s="111"/>
      <c r="Y37" s="259" t="s">
        <v>115</v>
      </c>
      <c r="Z37" s="260"/>
      <c r="AA37" s="261" t="s">
        <v>67</v>
      </c>
      <c r="AB37" s="261"/>
      <c r="AC37" s="261"/>
      <c r="AD37" s="261"/>
      <c r="AE37" s="48"/>
    </row>
    <row r="38" spans="1:31" ht="15" customHeight="1" x14ac:dyDescent="0.25">
      <c r="A38" s="255"/>
      <c r="B38" s="257"/>
      <c r="C38" s="63" t="s">
        <v>116</v>
      </c>
      <c r="D38" s="262" t="s">
        <v>117</v>
      </c>
      <c r="E38" s="263"/>
      <c r="F38" s="311" t="s">
        <v>228</v>
      </c>
      <c r="G38" s="219"/>
      <c r="H38" s="219"/>
      <c r="I38" s="220"/>
      <c r="J38" s="75"/>
      <c r="K38" s="262"/>
      <c r="L38" s="263"/>
      <c r="M38" s="264" t="s">
        <v>211</v>
      </c>
      <c r="N38" s="264"/>
      <c r="O38" s="264"/>
      <c r="P38" s="264"/>
      <c r="Q38" s="75"/>
      <c r="R38" s="262"/>
      <c r="S38" s="263"/>
      <c r="T38" s="311" t="s">
        <v>164</v>
      </c>
      <c r="U38" s="219"/>
      <c r="V38" s="219"/>
      <c r="W38" s="220"/>
      <c r="X38" s="106"/>
      <c r="Y38" s="262"/>
      <c r="Z38" s="263"/>
      <c r="AA38" s="200" t="s">
        <v>213</v>
      </c>
      <c r="AB38" s="200"/>
      <c r="AC38" s="200"/>
      <c r="AD38" s="200"/>
    </row>
    <row r="39" spans="1:31" x14ac:dyDescent="0.25">
      <c r="A39" s="255"/>
      <c r="B39" s="257"/>
      <c r="C39" s="63" t="s">
        <v>118</v>
      </c>
      <c r="D39" s="202"/>
      <c r="E39" s="203"/>
      <c r="F39" s="310"/>
      <c r="G39" s="202"/>
      <c r="H39" s="202"/>
      <c r="I39" s="203"/>
      <c r="J39" s="75"/>
      <c r="K39" s="202"/>
      <c r="L39" s="203"/>
      <c r="M39" s="200"/>
      <c r="N39" s="200"/>
      <c r="O39" s="200"/>
      <c r="P39" s="200"/>
      <c r="Q39" s="75"/>
      <c r="R39" s="202"/>
      <c r="S39" s="203"/>
      <c r="T39" s="200"/>
      <c r="U39" s="200"/>
      <c r="V39" s="200"/>
      <c r="W39" s="200"/>
      <c r="X39" s="106"/>
      <c r="Y39" s="202"/>
      <c r="Z39" s="203"/>
      <c r="AA39" s="200"/>
      <c r="AB39" s="200"/>
      <c r="AC39" s="200"/>
      <c r="AD39" s="200"/>
    </row>
    <row r="40" spans="1:31" ht="15.75" thickBot="1" x14ac:dyDescent="0.3">
      <c r="A40" s="255"/>
      <c r="B40" s="258"/>
      <c r="C40" s="64" t="s">
        <v>119</v>
      </c>
      <c r="D40" s="195" t="s">
        <v>229</v>
      </c>
      <c r="E40" s="196"/>
      <c r="F40" s="193"/>
      <c r="G40" s="193"/>
      <c r="H40" s="193"/>
      <c r="I40" s="193"/>
      <c r="J40" s="75"/>
      <c r="K40" s="195" t="s">
        <v>280</v>
      </c>
      <c r="L40" s="196"/>
      <c r="M40" s="193"/>
      <c r="N40" s="193"/>
      <c r="O40" s="193"/>
      <c r="P40" s="193"/>
      <c r="Q40" s="75"/>
      <c r="R40" s="195"/>
      <c r="S40" s="196"/>
      <c r="T40" s="193"/>
      <c r="U40" s="193"/>
      <c r="V40" s="193"/>
      <c r="W40" s="193"/>
      <c r="X40" s="106"/>
      <c r="Y40" s="195"/>
      <c r="Z40" s="196"/>
      <c r="AA40" s="193"/>
      <c r="AB40" s="193"/>
      <c r="AC40" s="193"/>
      <c r="AD40" s="193"/>
    </row>
    <row r="41" spans="1:31" ht="15.75" thickBot="1" x14ac:dyDescent="0.3">
      <c r="A41" s="38"/>
      <c r="B41" s="39"/>
      <c r="C41" s="39"/>
      <c r="D41" s="181"/>
      <c r="E41" s="182"/>
      <c r="F41" s="182"/>
      <c r="G41" s="182"/>
      <c r="H41" s="182"/>
      <c r="I41" s="182"/>
      <c r="J41" s="75"/>
      <c r="K41" s="181"/>
      <c r="L41" s="182"/>
      <c r="M41" s="182"/>
      <c r="N41" s="182"/>
      <c r="O41" s="182"/>
      <c r="P41" s="182"/>
      <c r="Q41" s="75"/>
      <c r="R41" s="181"/>
      <c r="S41" s="182"/>
      <c r="T41" s="182"/>
      <c r="U41" s="182"/>
      <c r="V41" s="182"/>
      <c r="W41" s="182"/>
      <c r="X41" s="106"/>
      <c r="Y41" s="181"/>
      <c r="Z41" s="182"/>
      <c r="AA41" s="182"/>
      <c r="AB41" s="182"/>
      <c r="AC41" s="182"/>
      <c r="AD41" s="182"/>
    </row>
    <row r="42" spans="1:31" ht="15" customHeight="1" thickBot="1" x14ac:dyDescent="0.3">
      <c r="A42" s="266" t="s">
        <v>120</v>
      </c>
      <c r="B42" s="268" t="s">
        <v>121</v>
      </c>
      <c r="C42" s="65"/>
      <c r="D42" s="102" t="s">
        <v>115</v>
      </c>
      <c r="E42" s="271" t="s">
        <v>122</v>
      </c>
      <c r="F42" s="272"/>
      <c r="G42" s="265" t="s">
        <v>123</v>
      </c>
      <c r="H42" s="265"/>
      <c r="I42" s="265"/>
      <c r="J42" s="75"/>
      <c r="K42" s="102" t="s">
        <v>115</v>
      </c>
      <c r="L42" s="271" t="s">
        <v>122</v>
      </c>
      <c r="M42" s="272"/>
      <c r="N42" s="265" t="s">
        <v>123</v>
      </c>
      <c r="O42" s="265"/>
      <c r="P42" s="265"/>
      <c r="Q42" s="111"/>
      <c r="R42" s="102" t="s">
        <v>115</v>
      </c>
      <c r="S42" s="271" t="s">
        <v>122</v>
      </c>
      <c r="T42" s="272"/>
      <c r="U42" s="265" t="s">
        <v>123</v>
      </c>
      <c r="V42" s="265"/>
      <c r="W42" s="265"/>
      <c r="X42" s="111"/>
      <c r="Y42" s="102" t="s">
        <v>115</v>
      </c>
      <c r="Z42" s="271" t="s">
        <v>122</v>
      </c>
      <c r="AA42" s="272"/>
      <c r="AB42" s="265" t="s">
        <v>123</v>
      </c>
      <c r="AC42" s="265"/>
      <c r="AD42" s="265"/>
    </row>
    <row r="43" spans="1:31" ht="15" customHeight="1" x14ac:dyDescent="0.25">
      <c r="A43" s="267"/>
      <c r="B43" s="269"/>
      <c r="C43" s="66" t="s">
        <v>124</v>
      </c>
      <c r="D43" s="103" t="s">
        <v>51</v>
      </c>
      <c r="E43" s="274">
        <v>2.5</v>
      </c>
      <c r="F43" s="275"/>
      <c r="G43" s="276">
        <f>E43*150</f>
        <v>375</v>
      </c>
      <c r="H43" s="276"/>
      <c r="I43" s="276"/>
      <c r="J43" s="75"/>
      <c r="K43" s="103" t="s">
        <v>51</v>
      </c>
      <c r="L43" s="274">
        <v>6.1</v>
      </c>
      <c r="M43" s="275"/>
      <c r="N43" s="276">
        <v>824</v>
      </c>
      <c r="O43" s="276"/>
      <c r="P43" s="276"/>
      <c r="Q43" s="75"/>
      <c r="R43" s="103"/>
      <c r="S43" s="274">
        <v>6.5</v>
      </c>
      <c r="T43" s="275"/>
      <c r="U43" s="276">
        <f>S43*130</f>
        <v>845</v>
      </c>
      <c r="V43" s="276"/>
      <c r="W43" s="276"/>
      <c r="X43" s="106"/>
      <c r="Y43" s="103"/>
      <c r="Z43" s="274">
        <v>3.2</v>
      </c>
      <c r="AA43" s="275"/>
      <c r="AB43" s="276">
        <f>Z43*260</f>
        <v>832</v>
      </c>
      <c r="AC43" s="276"/>
      <c r="AD43" s="276"/>
    </row>
    <row r="44" spans="1:31" ht="15.75" thickBot="1" x14ac:dyDescent="0.3">
      <c r="A44" s="267"/>
      <c r="B44" s="270"/>
      <c r="C44" s="61" t="s">
        <v>125</v>
      </c>
      <c r="D44" s="104"/>
      <c r="E44" s="273"/>
      <c r="F44" s="209"/>
      <c r="G44" s="188"/>
      <c r="H44" s="188"/>
      <c r="I44" s="188"/>
      <c r="J44" s="75"/>
      <c r="K44" s="104"/>
      <c r="L44" s="273"/>
      <c r="M44" s="209"/>
      <c r="N44" s="188"/>
      <c r="O44" s="188"/>
      <c r="P44" s="188"/>
      <c r="Q44" s="75"/>
      <c r="R44" s="104"/>
      <c r="S44" s="273"/>
      <c r="T44" s="209"/>
      <c r="U44" s="188"/>
      <c r="V44" s="188"/>
      <c r="W44" s="188"/>
      <c r="X44" s="106"/>
      <c r="Y44" s="104"/>
      <c r="Z44" s="273"/>
      <c r="AA44" s="209"/>
      <c r="AB44" s="188"/>
      <c r="AC44" s="188"/>
      <c r="AD44" s="188"/>
    </row>
    <row r="45" spans="1:31" ht="15.75" thickBot="1" x14ac:dyDescent="0.3">
      <c r="A45" s="38"/>
      <c r="B45" s="39"/>
      <c r="C45" s="39"/>
      <c r="D45" s="181"/>
      <c r="E45" s="182"/>
      <c r="F45" s="182"/>
      <c r="G45" s="182"/>
      <c r="H45" s="182"/>
      <c r="I45" s="182"/>
      <c r="J45" s="75"/>
      <c r="K45" s="181"/>
      <c r="L45" s="182"/>
      <c r="M45" s="182"/>
      <c r="N45" s="182"/>
      <c r="O45" s="182"/>
      <c r="P45" s="182"/>
      <c r="Q45" s="111"/>
      <c r="R45" s="181"/>
      <c r="S45" s="182"/>
      <c r="T45" s="182"/>
      <c r="U45" s="182"/>
      <c r="V45" s="182"/>
      <c r="W45" s="182"/>
      <c r="X45" s="111"/>
      <c r="Y45" s="181"/>
      <c r="Z45" s="182"/>
      <c r="AA45" s="182"/>
      <c r="AB45" s="182"/>
      <c r="AC45" s="182"/>
      <c r="AD45" s="182"/>
    </row>
    <row r="46" spans="1:31" ht="15" customHeight="1" x14ac:dyDescent="0.25">
      <c r="A46" s="244" t="s">
        <v>126</v>
      </c>
      <c r="B46" s="281" t="s">
        <v>127</v>
      </c>
      <c r="C46" s="49" t="s">
        <v>128</v>
      </c>
      <c r="D46" s="235">
        <v>60</v>
      </c>
      <c r="E46" s="284"/>
      <c r="F46" s="284"/>
      <c r="G46" s="284"/>
      <c r="H46" s="284"/>
      <c r="I46" s="284"/>
      <c r="J46" s="75"/>
      <c r="K46" s="235">
        <v>104</v>
      </c>
      <c r="L46" s="284"/>
      <c r="M46" s="284"/>
      <c r="N46" s="284"/>
      <c r="O46" s="284"/>
      <c r="P46" s="284"/>
      <c r="Q46" s="75"/>
      <c r="R46" s="235">
        <v>10.4</v>
      </c>
      <c r="S46" s="284"/>
      <c r="T46" s="284"/>
      <c r="U46" s="284"/>
      <c r="V46" s="284"/>
      <c r="W46" s="284"/>
      <c r="X46" s="106"/>
      <c r="Y46" s="235">
        <v>68.2</v>
      </c>
      <c r="Z46" s="284"/>
      <c r="AA46" s="284"/>
      <c r="AB46" s="284"/>
      <c r="AC46" s="284"/>
      <c r="AD46" s="284"/>
    </row>
    <row r="47" spans="1:31" ht="15" customHeight="1" x14ac:dyDescent="0.25">
      <c r="A47" s="245"/>
      <c r="B47" s="282"/>
      <c r="C47" s="50" t="s">
        <v>129</v>
      </c>
      <c r="D47" s="279">
        <f>0.2*420+0.2*636</f>
        <v>211.2</v>
      </c>
      <c r="E47" s="280"/>
      <c r="F47" s="280"/>
      <c r="G47" s="280"/>
      <c r="H47" s="280"/>
      <c r="I47" s="280"/>
      <c r="J47" s="75"/>
      <c r="K47" s="230">
        <f>0.2941*240</f>
        <v>70.583999999999989</v>
      </c>
      <c r="L47" s="249"/>
      <c r="M47" s="249"/>
      <c r="N47" s="249"/>
      <c r="O47" s="249"/>
      <c r="P47" s="249"/>
      <c r="Q47" s="75"/>
      <c r="R47" s="279">
        <f>240*0.476+0.269*357+0.256*636</f>
        <v>373.089</v>
      </c>
      <c r="S47" s="280"/>
      <c r="T47" s="280"/>
      <c r="U47" s="280"/>
      <c r="V47" s="280"/>
      <c r="W47" s="280"/>
      <c r="X47" s="106"/>
      <c r="Y47" s="279">
        <f>0.2609*315+2*10.12</f>
        <v>102.4235</v>
      </c>
      <c r="Z47" s="280"/>
      <c r="AA47" s="280"/>
      <c r="AB47" s="280"/>
      <c r="AC47" s="280"/>
      <c r="AD47" s="280"/>
    </row>
    <row r="48" spans="1:31" ht="14.25" customHeight="1" x14ac:dyDescent="0.25">
      <c r="A48" s="245"/>
      <c r="B48" s="282"/>
      <c r="C48" s="50" t="s">
        <v>130</v>
      </c>
      <c r="D48" s="230">
        <f>F33/1000*35+1.5*25</f>
        <v>37.524500000000003</v>
      </c>
      <c r="E48" s="249"/>
      <c r="F48" s="249"/>
      <c r="G48" s="249"/>
      <c r="H48" s="249"/>
      <c r="I48" s="249"/>
      <c r="J48" s="75"/>
      <c r="K48" s="230">
        <f>30*3.33+33*0.6+1*28+34*0.06</f>
        <v>149.73999999999998</v>
      </c>
      <c r="L48" s="249"/>
      <c r="M48" s="249"/>
      <c r="N48" s="249"/>
      <c r="O48" s="249"/>
      <c r="P48" s="249"/>
      <c r="Q48" s="75"/>
      <c r="R48" s="285">
        <f>23*2.5+14+12</f>
        <v>83.5</v>
      </c>
      <c r="S48" s="285"/>
      <c r="T48" s="285"/>
      <c r="U48" s="285"/>
      <c r="V48" s="285"/>
      <c r="W48" s="230"/>
      <c r="X48" s="106"/>
      <c r="Y48" s="230">
        <f>1*35+0.5*44+0.7*18</f>
        <v>69.599999999999994</v>
      </c>
      <c r="Z48" s="249"/>
      <c r="AA48" s="249"/>
      <c r="AB48" s="249"/>
      <c r="AC48" s="249"/>
      <c r="AD48" s="249"/>
    </row>
    <row r="49" spans="1:31" ht="13.5" customHeight="1" x14ac:dyDescent="0.25">
      <c r="A49" s="245"/>
      <c r="B49" s="282"/>
      <c r="C49" s="50" t="s">
        <v>131</v>
      </c>
      <c r="D49" s="312"/>
      <c r="E49" s="313"/>
      <c r="F49" s="313"/>
      <c r="G49" s="313"/>
      <c r="H49" s="313"/>
      <c r="I49" s="277"/>
      <c r="J49" s="75"/>
      <c r="K49" s="277"/>
      <c r="L49" s="278"/>
      <c r="M49" s="278"/>
      <c r="N49" s="278"/>
      <c r="O49" s="278"/>
      <c r="P49" s="278"/>
      <c r="Q49" s="75"/>
      <c r="R49" s="277"/>
      <c r="S49" s="278"/>
      <c r="T49" s="278"/>
      <c r="U49" s="278"/>
      <c r="V49" s="278"/>
      <c r="W49" s="278"/>
      <c r="X49" s="106"/>
      <c r="Y49" s="230">
        <v>70</v>
      </c>
      <c r="Z49" s="249"/>
      <c r="AA49" s="249"/>
      <c r="AB49" s="249"/>
      <c r="AC49" s="249"/>
      <c r="AD49" s="249"/>
    </row>
    <row r="50" spans="1:31" x14ac:dyDescent="0.25">
      <c r="A50" s="245"/>
      <c r="B50" s="282"/>
      <c r="C50" s="42" t="s">
        <v>132</v>
      </c>
      <c r="D50" s="312">
        <v>0</v>
      </c>
      <c r="E50" s="313"/>
      <c r="F50" s="313"/>
      <c r="G50" s="313"/>
      <c r="H50" s="313"/>
      <c r="I50" s="277"/>
      <c r="J50" s="75"/>
      <c r="K50" s="277"/>
      <c r="L50" s="278"/>
      <c r="M50" s="278"/>
      <c r="N50" s="278"/>
      <c r="O50" s="278"/>
      <c r="P50" s="278"/>
      <c r="Q50" s="75"/>
      <c r="R50" s="277"/>
      <c r="S50" s="278"/>
      <c r="T50" s="278"/>
      <c r="U50" s="278"/>
      <c r="V50" s="278"/>
      <c r="W50" s="278"/>
      <c r="X50" s="106"/>
      <c r="Y50" s="277"/>
      <c r="Z50" s="278"/>
      <c r="AA50" s="278"/>
      <c r="AB50" s="278"/>
      <c r="AC50" s="278"/>
      <c r="AD50" s="278"/>
    </row>
    <row r="51" spans="1:31" x14ac:dyDescent="0.25">
      <c r="A51" s="245"/>
      <c r="B51" s="282"/>
      <c r="C51" s="42" t="s">
        <v>133</v>
      </c>
      <c r="D51" s="312">
        <v>0</v>
      </c>
      <c r="E51" s="313"/>
      <c r="F51" s="313"/>
      <c r="G51" s="313"/>
      <c r="H51" s="313"/>
      <c r="I51" s="277"/>
      <c r="J51" s="75"/>
      <c r="K51" s="277"/>
      <c r="L51" s="278"/>
      <c r="M51" s="278"/>
      <c r="N51" s="278"/>
      <c r="O51" s="278"/>
      <c r="P51" s="278"/>
      <c r="Q51" s="75"/>
      <c r="R51" s="277"/>
      <c r="S51" s="278"/>
      <c r="T51" s="278"/>
      <c r="U51" s="278"/>
      <c r="V51" s="278"/>
      <c r="W51" s="278"/>
      <c r="X51" s="106"/>
      <c r="Y51" s="277"/>
      <c r="Z51" s="278"/>
      <c r="AA51" s="278"/>
      <c r="AB51" s="278"/>
      <c r="AC51" s="278"/>
      <c r="AD51" s="278"/>
    </row>
    <row r="52" spans="1:31" ht="15.75" customHeight="1" x14ac:dyDescent="0.25">
      <c r="A52" s="245"/>
      <c r="B52" s="282"/>
      <c r="C52" s="50" t="s">
        <v>134</v>
      </c>
      <c r="D52" s="312">
        <v>0</v>
      </c>
      <c r="E52" s="313"/>
      <c r="F52" s="313"/>
      <c r="G52" s="313"/>
      <c r="H52" s="313"/>
      <c r="I52" s="277"/>
      <c r="J52" s="75"/>
      <c r="K52" s="277"/>
      <c r="L52" s="278"/>
      <c r="M52" s="278"/>
      <c r="N52" s="278"/>
      <c r="O52" s="278"/>
      <c r="P52" s="278"/>
      <c r="Q52" s="75"/>
      <c r="R52" s="277"/>
      <c r="S52" s="278"/>
      <c r="T52" s="278"/>
      <c r="U52" s="278"/>
      <c r="V52" s="278"/>
      <c r="W52" s="278"/>
      <c r="X52" s="106"/>
      <c r="Y52" s="277"/>
      <c r="Z52" s="278"/>
      <c r="AA52" s="278"/>
      <c r="AB52" s="278"/>
      <c r="AC52" s="278"/>
      <c r="AD52" s="278"/>
    </row>
    <row r="53" spans="1:31" x14ac:dyDescent="0.25">
      <c r="A53" s="245"/>
      <c r="B53" s="282"/>
      <c r="C53" s="42" t="s">
        <v>135</v>
      </c>
      <c r="D53" s="314">
        <f>D46+D47+D48+D49+D50+D51+D52</f>
        <v>308.72449999999998</v>
      </c>
      <c r="E53" s="315"/>
      <c r="F53" s="315"/>
      <c r="G53" s="315"/>
      <c r="H53" s="315"/>
      <c r="I53" s="279"/>
      <c r="J53" s="75"/>
      <c r="K53" s="279">
        <f>K46+K47+K48+K49+K50+K51+K52</f>
        <v>324.32399999999996</v>
      </c>
      <c r="L53" s="280"/>
      <c r="M53" s="280"/>
      <c r="N53" s="280"/>
      <c r="O53" s="280"/>
      <c r="P53" s="280"/>
      <c r="Q53" s="75"/>
      <c r="R53" s="279">
        <f>R46+R47+R48+R49+R50+R51+R52</f>
        <v>466.98899999999998</v>
      </c>
      <c r="S53" s="280"/>
      <c r="T53" s="280"/>
      <c r="U53" s="280"/>
      <c r="V53" s="280"/>
      <c r="W53" s="280"/>
      <c r="X53" s="106"/>
      <c r="Y53" s="279">
        <f>Y46+Y47+Y48+Y49+Y50+Y51+Y52</f>
        <v>310.2235</v>
      </c>
      <c r="Z53" s="280"/>
      <c r="AA53" s="280"/>
      <c r="AB53" s="280"/>
      <c r="AC53" s="280"/>
      <c r="AD53" s="280"/>
    </row>
    <row r="54" spans="1:31" ht="15" customHeight="1" x14ac:dyDescent="0.25">
      <c r="A54" s="245"/>
      <c r="B54" s="282"/>
      <c r="C54" s="286" t="s">
        <v>136</v>
      </c>
      <c r="D54" s="314">
        <v>110</v>
      </c>
      <c r="E54" s="315"/>
      <c r="F54" s="315"/>
      <c r="G54" s="315"/>
      <c r="H54" s="315"/>
      <c r="I54" s="279"/>
      <c r="J54" s="105"/>
      <c r="K54" s="277">
        <v>110</v>
      </c>
      <c r="L54" s="278"/>
      <c r="M54" s="278"/>
      <c r="N54" s="278"/>
      <c r="O54" s="278"/>
      <c r="P54" s="278"/>
      <c r="Q54" s="105"/>
      <c r="R54" s="277">
        <v>110</v>
      </c>
      <c r="S54" s="278"/>
      <c r="T54" s="278"/>
      <c r="U54" s="278"/>
      <c r="V54" s="278"/>
      <c r="W54" s="278"/>
      <c r="X54" s="105"/>
      <c r="Y54" s="277">
        <v>110</v>
      </c>
      <c r="Z54" s="278"/>
      <c r="AA54" s="278"/>
      <c r="AB54" s="278"/>
      <c r="AC54" s="278"/>
      <c r="AD54" s="278"/>
      <c r="AE54" s="51"/>
    </row>
    <row r="55" spans="1:31" ht="1.5" customHeight="1" thickBot="1" x14ac:dyDescent="0.3">
      <c r="A55" s="246"/>
      <c r="B55" s="283"/>
      <c r="C55" s="287"/>
      <c r="D55" s="314"/>
      <c r="E55" s="315"/>
      <c r="F55" s="315"/>
      <c r="G55" s="315"/>
      <c r="H55" s="315"/>
      <c r="I55" s="279"/>
      <c r="J55" s="105"/>
      <c r="K55" s="288"/>
      <c r="L55" s="289"/>
      <c r="M55" s="289"/>
      <c r="N55" s="289"/>
      <c r="O55" s="289"/>
      <c r="P55" s="289"/>
      <c r="Q55" s="105"/>
      <c r="R55" s="288"/>
      <c r="S55" s="289"/>
      <c r="T55" s="289"/>
      <c r="U55" s="289"/>
      <c r="V55" s="289"/>
      <c r="W55" s="289"/>
      <c r="X55" s="105"/>
      <c r="Y55" s="288"/>
      <c r="Z55" s="289"/>
      <c r="AA55" s="289"/>
      <c r="AB55" s="289"/>
      <c r="AC55" s="289"/>
      <c r="AD55" s="289"/>
      <c r="AE55" s="51"/>
    </row>
    <row r="58" spans="1:31" x14ac:dyDescent="0.25">
      <c r="D58" s="55"/>
      <c r="K58" s="55"/>
      <c r="R58" s="55"/>
      <c r="Y58" s="55"/>
    </row>
    <row r="62" spans="1:31" x14ac:dyDescent="0.25">
      <c r="E62" s="57"/>
      <c r="L62" s="57"/>
      <c r="S62" s="57"/>
    </row>
  </sheetData>
  <mergeCells count="294">
    <mergeCell ref="C54:C55"/>
    <mergeCell ref="K54:P55"/>
    <mergeCell ref="R54:W55"/>
    <mergeCell ref="Y54:AD55"/>
    <mergeCell ref="D53:I53"/>
    <mergeCell ref="K53:P53"/>
    <mergeCell ref="R53:W53"/>
    <mergeCell ref="Y53:AD53"/>
    <mergeCell ref="D54:I54"/>
    <mergeCell ref="D55:I55"/>
    <mergeCell ref="Y49:AD49"/>
    <mergeCell ref="D52:I52"/>
    <mergeCell ref="K52:P52"/>
    <mergeCell ref="R52:W52"/>
    <mergeCell ref="Y52:AD52"/>
    <mergeCell ref="D51:I51"/>
    <mergeCell ref="K51:P51"/>
    <mergeCell ref="R51:W51"/>
    <mergeCell ref="Y51:AD51"/>
    <mergeCell ref="D45:I45"/>
    <mergeCell ref="K45:P45"/>
    <mergeCell ref="R45:W45"/>
    <mergeCell ref="D47:I47"/>
    <mergeCell ref="K47:P47"/>
    <mergeCell ref="R47:W47"/>
    <mergeCell ref="Y47:AD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D49:I49"/>
    <mergeCell ref="K49:P49"/>
    <mergeCell ref="R49:W49"/>
    <mergeCell ref="Z43:AA43"/>
    <mergeCell ref="AB43:AD43"/>
    <mergeCell ref="S42:T42"/>
    <mergeCell ref="U42:W42"/>
    <mergeCell ref="Z42:AA42"/>
    <mergeCell ref="AB42:AD42"/>
    <mergeCell ref="Y45:AD45"/>
    <mergeCell ref="Z44:AA44"/>
    <mergeCell ref="AB44:AD44"/>
    <mergeCell ref="S44:T44"/>
    <mergeCell ref="U44:W44"/>
    <mergeCell ref="R41:W41"/>
    <mergeCell ref="E43:F43"/>
    <mergeCell ref="G43:I43"/>
    <mergeCell ref="L43:M43"/>
    <mergeCell ref="N43:P43"/>
    <mergeCell ref="S43:T43"/>
    <mergeCell ref="U43:W43"/>
    <mergeCell ref="E44:F44"/>
    <mergeCell ref="G44:I44"/>
    <mergeCell ref="L44:M44"/>
    <mergeCell ref="N44:P44"/>
    <mergeCell ref="D40:E40"/>
    <mergeCell ref="F40:I40"/>
    <mergeCell ref="K40:L40"/>
    <mergeCell ref="M40:P40"/>
    <mergeCell ref="A42:A44"/>
    <mergeCell ref="B42:B44"/>
    <mergeCell ref="E42:F42"/>
    <mergeCell ref="G42:I42"/>
    <mergeCell ref="L42:M42"/>
    <mergeCell ref="N42:P42"/>
    <mergeCell ref="D41:I41"/>
    <mergeCell ref="K41:P41"/>
    <mergeCell ref="Y41:AD41"/>
    <mergeCell ref="R40:S40"/>
    <mergeCell ref="T40:W40"/>
    <mergeCell ref="Y40:Z40"/>
    <mergeCell ref="AA40:AD40"/>
    <mergeCell ref="A37:A40"/>
    <mergeCell ref="B37:B40"/>
    <mergeCell ref="K37:L37"/>
    <mergeCell ref="M37:P37"/>
    <mergeCell ref="Y39:Z39"/>
    <mergeCell ref="AA39:AD39"/>
    <mergeCell ref="D38:E38"/>
    <mergeCell ref="F38:I38"/>
    <mergeCell ref="K38:L38"/>
    <mergeCell ref="M38:P38"/>
    <mergeCell ref="R38:S38"/>
    <mergeCell ref="T38:W38"/>
    <mergeCell ref="Y38:Z38"/>
    <mergeCell ref="AA38:AD38"/>
    <mergeCell ref="R37:S37"/>
    <mergeCell ref="T37:W37"/>
    <mergeCell ref="Y37:Z37"/>
    <mergeCell ref="AA37:AD37"/>
    <mergeCell ref="D37:E37"/>
    <mergeCell ref="R35:U35"/>
    <mergeCell ref="V35:W35"/>
    <mergeCell ref="Y35:AB35"/>
    <mergeCell ref="AC35:AD35"/>
    <mergeCell ref="D39:E39"/>
    <mergeCell ref="F39:I39"/>
    <mergeCell ref="K39:L39"/>
    <mergeCell ref="M39:P39"/>
    <mergeCell ref="R39:S39"/>
    <mergeCell ref="T39:W39"/>
    <mergeCell ref="F37:I37"/>
    <mergeCell ref="D36:I36"/>
    <mergeCell ref="K36:P36"/>
    <mergeCell ref="R36:W36"/>
    <mergeCell ref="Y36:AD36"/>
    <mergeCell ref="AC34:AD34"/>
    <mergeCell ref="T32:U32"/>
    <mergeCell ref="F34:G34"/>
    <mergeCell ref="H34:I34"/>
    <mergeCell ref="M34:N34"/>
    <mergeCell ref="O34:P34"/>
    <mergeCell ref="T34:U34"/>
    <mergeCell ref="V34:W34"/>
    <mergeCell ref="F33:G33"/>
    <mergeCell ref="H33:I33"/>
    <mergeCell ref="M33:N33"/>
    <mergeCell ref="O33:P33"/>
    <mergeCell ref="T33:U33"/>
    <mergeCell ref="V33:W33"/>
    <mergeCell ref="AA33:AB33"/>
    <mergeCell ref="AC33:AD33"/>
    <mergeCell ref="V32:W32"/>
    <mergeCell ref="Y32:Z32"/>
    <mergeCell ref="AA32:AB32"/>
    <mergeCell ref="AC32:AD32"/>
    <mergeCell ref="AA34:AB34"/>
    <mergeCell ref="AC31:AD31"/>
    <mergeCell ref="F29:G29"/>
    <mergeCell ref="H29:I29"/>
    <mergeCell ref="M29:N29"/>
    <mergeCell ref="O29:P29"/>
    <mergeCell ref="T29:U29"/>
    <mergeCell ref="V29:W29"/>
    <mergeCell ref="Y29:Z29"/>
    <mergeCell ref="AA29:AB29"/>
    <mergeCell ref="T30:U30"/>
    <mergeCell ref="F31:G31"/>
    <mergeCell ref="H31:I31"/>
    <mergeCell ref="M31:N31"/>
    <mergeCell ref="O31:P31"/>
    <mergeCell ref="T31:U31"/>
    <mergeCell ref="V31:W31"/>
    <mergeCell ref="Y31:Z31"/>
    <mergeCell ref="AA31:AB31"/>
    <mergeCell ref="V30:W30"/>
    <mergeCell ref="Y30:Z30"/>
    <mergeCell ref="AA30:AB30"/>
    <mergeCell ref="T28:U28"/>
    <mergeCell ref="V28:W28"/>
    <mergeCell ref="AA28:AB28"/>
    <mergeCell ref="AC28:AD28"/>
    <mergeCell ref="AC29:AD29"/>
    <mergeCell ref="A28:A35"/>
    <mergeCell ref="B28:B35"/>
    <mergeCell ref="F28:G28"/>
    <mergeCell ref="H28:I28"/>
    <mergeCell ref="M28:N28"/>
    <mergeCell ref="O28:P28"/>
    <mergeCell ref="D35:G35"/>
    <mergeCell ref="H35:I35"/>
    <mergeCell ref="K35:N35"/>
    <mergeCell ref="O35:P35"/>
    <mergeCell ref="F30:G30"/>
    <mergeCell ref="H30:I30"/>
    <mergeCell ref="M30:N30"/>
    <mergeCell ref="O30:P30"/>
    <mergeCell ref="F32:G32"/>
    <mergeCell ref="H32:I32"/>
    <mergeCell ref="M32:N32"/>
    <mergeCell ref="O32:P32"/>
    <mergeCell ref="AC30:AD30"/>
    <mergeCell ref="F24:G24"/>
    <mergeCell ref="M24:N24"/>
    <mergeCell ref="T24:U24"/>
    <mergeCell ref="AA24:AB24"/>
    <mergeCell ref="D27:I27"/>
    <mergeCell ref="K27:P27"/>
    <mergeCell ref="R27:W27"/>
    <mergeCell ref="Y27:AD27"/>
    <mergeCell ref="F26:G26"/>
    <mergeCell ref="M26:N26"/>
    <mergeCell ref="T26:U26"/>
    <mergeCell ref="AA26:AB26"/>
    <mergeCell ref="T25:U25"/>
    <mergeCell ref="AA25:AB25"/>
    <mergeCell ref="F20:G20"/>
    <mergeCell ref="M20:N20"/>
    <mergeCell ref="T20:U20"/>
    <mergeCell ref="AA20:AB20"/>
    <mergeCell ref="F23:G23"/>
    <mergeCell ref="M23:N23"/>
    <mergeCell ref="T23:U23"/>
    <mergeCell ref="AA23:AB23"/>
    <mergeCell ref="F22:G22"/>
    <mergeCell ref="M22:N22"/>
    <mergeCell ref="T22:U22"/>
    <mergeCell ref="AA22:AB22"/>
    <mergeCell ref="F19:G19"/>
    <mergeCell ref="M19:N19"/>
    <mergeCell ref="T19:U19"/>
    <mergeCell ref="AA19:AB19"/>
    <mergeCell ref="F17:G17"/>
    <mergeCell ref="M17:N17"/>
    <mergeCell ref="T17:U17"/>
    <mergeCell ref="AA17:AB17"/>
    <mergeCell ref="A16:A26"/>
    <mergeCell ref="B16:B26"/>
    <mergeCell ref="F16:G16"/>
    <mergeCell ref="M16:N16"/>
    <mergeCell ref="T16:U16"/>
    <mergeCell ref="AA16:AB16"/>
    <mergeCell ref="F18:G18"/>
    <mergeCell ref="M18:N18"/>
    <mergeCell ref="T18:U18"/>
    <mergeCell ref="AA18:AB18"/>
    <mergeCell ref="F21:G21"/>
    <mergeCell ref="M21:N21"/>
    <mergeCell ref="T21:U21"/>
    <mergeCell ref="AA21:AB21"/>
    <mergeCell ref="F25:G25"/>
    <mergeCell ref="M25:N25"/>
    <mergeCell ref="D15:I15"/>
    <mergeCell ref="K15:P15"/>
    <mergeCell ref="R15:W15"/>
    <mergeCell ref="Y15:AD15"/>
    <mergeCell ref="D13:I13"/>
    <mergeCell ref="K13:P13"/>
    <mergeCell ref="R13:W13"/>
    <mergeCell ref="Y13:AD13"/>
    <mergeCell ref="A12:A14"/>
    <mergeCell ref="B12:B14"/>
    <mergeCell ref="D12:I12"/>
    <mergeCell ref="K12:P12"/>
    <mergeCell ref="R12:W12"/>
    <mergeCell ref="Y12:AD12"/>
    <mergeCell ref="D14:I14"/>
    <mergeCell ref="K14:P14"/>
    <mergeCell ref="R14:W14"/>
    <mergeCell ref="Y14:AD14"/>
    <mergeCell ref="D11:I11"/>
    <mergeCell ref="K11:P11"/>
    <mergeCell ref="R11:W11"/>
    <mergeCell ref="Y11:AD11"/>
    <mergeCell ref="D9:I9"/>
    <mergeCell ref="K9:P9"/>
    <mergeCell ref="R9:W9"/>
    <mergeCell ref="Y9:AD9"/>
    <mergeCell ref="A8:A10"/>
    <mergeCell ref="B8:B10"/>
    <mergeCell ref="D8:I8"/>
    <mergeCell ref="K8:P8"/>
    <mergeCell ref="R8:W8"/>
    <mergeCell ref="Y8:AD8"/>
    <mergeCell ref="D10:I10"/>
    <mergeCell ref="K10:P10"/>
    <mergeCell ref="R10:W10"/>
    <mergeCell ref="Y10:AD10"/>
    <mergeCell ref="A3:A6"/>
    <mergeCell ref="B3:B6"/>
    <mergeCell ref="D3:I3"/>
    <mergeCell ref="K3:P3"/>
    <mergeCell ref="R3:W3"/>
    <mergeCell ref="Y3:AD3"/>
    <mergeCell ref="D5:I5"/>
    <mergeCell ref="K5:P5"/>
    <mergeCell ref="R5:W5"/>
    <mergeCell ref="Y5:AD5"/>
    <mergeCell ref="D2:I2"/>
    <mergeCell ref="K2:P2"/>
    <mergeCell ref="R2:W2"/>
    <mergeCell ref="Y2:AD2"/>
    <mergeCell ref="D4:I4"/>
    <mergeCell ref="K4:P4"/>
    <mergeCell ref="R4:W4"/>
    <mergeCell ref="Y4:AD4"/>
    <mergeCell ref="D7:I7"/>
    <mergeCell ref="K7:P7"/>
    <mergeCell ref="R7:W7"/>
    <mergeCell ref="Y7:AD7"/>
    <mergeCell ref="D6:I6"/>
    <mergeCell ref="K6:P6"/>
    <mergeCell ref="R6:W6"/>
    <mergeCell ref="Y6:AD6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zoomScale="60" zoomScaleNormal="60" workbookViewId="0">
      <pane xSplit="3" topLeftCell="M1" activePane="topRight" state="frozen"/>
      <selection pane="topRight" activeCell="M24" sqref="M24:N24"/>
    </sheetView>
  </sheetViews>
  <sheetFormatPr baseColWidth="10" defaultColWidth="11.42578125" defaultRowHeight="15" x14ac:dyDescent="0.25"/>
  <cols>
    <col min="2" max="2" width="44.140625" customWidth="1"/>
    <col min="3" max="3" width="51.5703125" bestFit="1" customWidth="1"/>
    <col min="4" max="4" width="23" bestFit="1" customWidth="1"/>
    <col min="5" max="5" width="35" bestFit="1" customWidth="1"/>
    <col min="8" max="8" width="25.85546875" bestFit="1" customWidth="1"/>
    <col min="9" max="9" width="28.140625" bestFit="1" customWidth="1"/>
    <col min="10" max="10" width="1.7109375" style="24" customWidth="1"/>
    <col min="11" max="11" width="13" customWidth="1"/>
    <col min="12" max="12" width="35" bestFit="1" customWidth="1"/>
    <col min="13" max="14" width="9.28515625" customWidth="1"/>
    <col min="15" max="15" width="25.85546875" bestFit="1" customWidth="1"/>
    <col min="16" max="16" width="28.140625" bestFit="1" customWidth="1"/>
    <col min="17" max="17" width="1.7109375" style="24" customWidth="1"/>
    <col min="20" max="20" width="34.28515625" bestFit="1" customWidth="1"/>
    <col min="22" max="22" width="25.85546875" bestFit="1" customWidth="1"/>
    <col min="23" max="23" width="28.140625" bestFit="1" customWidth="1"/>
    <col min="24" max="24" width="1.7109375" style="23" customWidth="1"/>
    <col min="26" max="26" width="34.28515625" bestFit="1" customWidth="1"/>
    <col min="27" max="27" width="28" customWidth="1"/>
    <col min="28" max="28" width="8.42578125" customWidth="1"/>
    <col min="29" max="29" width="25.85546875" bestFit="1" customWidth="1"/>
    <col min="30" max="30" width="28.140625" bestFit="1" customWidth="1"/>
    <col min="31" max="31" width="1.7109375" style="23" customWidth="1"/>
  </cols>
  <sheetData>
    <row r="1" spans="1:31" ht="15.75" thickBot="1" x14ac:dyDescent="0.3"/>
    <row r="2" spans="1:31" ht="15.75" thickBot="1" x14ac:dyDescent="0.3">
      <c r="A2" s="25"/>
      <c r="B2" s="26" t="s">
        <v>38</v>
      </c>
      <c r="C2" s="26" t="s">
        <v>39</v>
      </c>
      <c r="D2" s="168" t="s">
        <v>40</v>
      </c>
      <c r="E2" s="169"/>
      <c r="F2" s="169"/>
      <c r="G2" s="169"/>
      <c r="H2" s="169"/>
      <c r="I2" s="169"/>
      <c r="J2" s="27"/>
      <c r="K2" s="168" t="s">
        <v>41</v>
      </c>
      <c r="L2" s="169"/>
      <c r="M2" s="169"/>
      <c r="N2" s="169"/>
      <c r="O2" s="169"/>
      <c r="P2" s="169"/>
      <c r="Q2" s="27"/>
      <c r="R2" s="296" t="s">
        <v>42</v>
      </c>
      <c r="S2" s="169"/>
      <c r="T2" s="169"/>
      <c r="U2" s="169"/>
      <c r="V2" s="169"/>
      <c r="W2" s="169"/>
      <c r="X2" s="28"/>
      <c r="Y2" s="168" t="s">
        <v>43</v>
      </c>
      <c r="Z2" s="169"/>
      <c r="AA2" s="169"/>
      <c r="AB2" s="169"/>
      <c r="AC2" s="169"/>
      <c r="AD2" s="169"/>
      <c r="AE2" s="28"/>
    </row>
    <row r="3" spans="1:31" ht="15" customHeight="1" x14ac:dyDescent="0.25">
      <c r="A3" s="173" t="s">
        <v>44</v>
      </c>
      <c r="B3" s="176" t="s">
        <v>45</v>
      </c>
      <c r="C3" s="29" t="s">
        <v>46</v>
      </c>
      <c r="D3" s="316" t="s">
        <v>47</v>
      </c>
      <c r="E3" s="317"/>
      <c r="F3" s="317"/>
      <c r="G3" s="317"/>
      <c r="H3" s="317"/>
      <c r="I3" s="317"/>
      <c r="J3" s="72"/>
      <c r="K3" s="316" t="s">
        <v>49</v>
      </c>
      <c r="L3" s="317"/>
      <c r="M3" s="317"/>
      <c r="N3" s="317"/>
      <c r="O3" s="317"/>
      <c r="P3" s="317"/>
      <c r="Q3" s="72"/>
      <c r="R3" s="316" t="s">
        <v>137</v>
      </c>
      <c r="S3" s="317"/>
      <c r="T3" s="317"/>
      <c r="U3" s="317"/>
      <c r="V3" s="317"/>
      <c r="W3" s="317"/>
      <c r="X3" s="106"/>
      <c r="Y3" s="179" t="s">
        <v>48</v>
      </c>
      <c r="Z3" s="180"/>
      <c r="AA3" s="180"/>
      <c r="AB3" s="180"/>
      <c r="AC3" s="180"/>
      <c r="AD3" s="180"/>
    </row>
    <row r="4" spans="1:31" x14ac:dyDescent="0.25">
      <c r="A4" s="174"/>
      <c r="B4" s="177"/>
      <c r="C4" s="52" t="s">
        <v>50</v>
      </c>
      <c r="D4" s="171" t="s">
        <v>51</v>
      </c>
      <c r="E4" s="172"/>
      <c r="F4" s="172"/>
      <c r="G4" s="172"/>
      <c r="H4" s="172"/>
      <c r="I4" s="172"/>
      <c r="J4" s="72"/>
      <c r="K4" s="171" t="s">
        <v>51</v>
      </c>
      <c r="L4" s="172"/>
      <c r="M4" s="172"/>
      <c r="N4" s="172"/>
      <c r="O4" s="172"/>
      <c r="P4" s="172"/>
      <c r="Q4" s="72"/>
      <c r="R4" s="297" t="s">
        <v>51</v>
      </c>
      <c r="S4" s="298"/>
      <c r="T4" s="298"/>
      <c r="U4" s="298"/>
      <c r="V4" s="298"/>
      <c r="W4" s="298"/>
      <c r="X4" s="106"/>
      <c r="Y4" s="171" t="s">
        <v>51</v>
      </c>
      <c r="Z4" s="172"/>
      <c r="AA4" s="172"/>
      <c r="AB4" s="172"/>
      <c r="AC4" s="172"/>
      <c r="AD4" s="172"/>
    </row>
    <row r="5" spans="1:31" x14ac:dyDescent="0.25">
      <c r="A5" s="174"/>
      <c r="B5" s="177"/>
      <c r="C5" s="31" t="s">
        <v>52</v>
      </c>
      <c r="D5" s="170" t="s">
        <v>53</v>
      </c>
      <c r="E5" s="170"/>
      <c r="F5" s="170"/>
      <c r="G5" s="170"/>
      <c r="H5" s="170"/>
      <c r="I5" s="170"/>
      <c r="J5" s="107"/>
      <c r="K5" s="170" t="s">
        <v>53</v>
      </c>
      <c r="L5" s="170"/>
      <c r="M5" s="170"/>
      <c r="N5" s="170"/>
      <c r="O5" s="170"/>
      <c r="P5" s="170"/>
      <c r="Q5" s="73"/>
      <c r="R5" s="170" t="s">
        <v>139</v>
      </c>
      <c r="S5" s="170"/>
      <c r="T5" s="170"/>
      <c r="U5" s="170"/>
      <c r="V5" s="170"/>
      <c r="W5" s="170"/>
      <c r="X5" s="73"/>
      <c r="Y5" s="170" t="s">
        <v>53</v>
      </c>
      <c r="Z5" s="170"/>
      <c r="AA5" s="170"/>
      <c r="AB5" s="170"/>
      <c r="AC5" s="170"/>
      <c r="AD5" s="170"/>
      <c r="AE5" s="32"/>
    </row>
    <row r="6" spans="1:31" ht="15.75" thickBot="1" x14ac:dyDescent="0.3">
      <c r="A6" s="175"/>
      <c r="B6" s="178"/>
      <c r="C6" s="53" t="s">
        <v>54</v>
      </c>
      <c r="D6" s="189"/>
      <c r="E6" s="190"/>
      <c r="F6" s="190"/>
      <c r="G6" s="190"/>
      <c r="H6" s="190"/>
      <c r="I6" s="191"/>
      <c r="J6" s="72"/>
      <c r="K6" s="189"/>
      <c r="L6" s="190"/>
      <c r="M6" s="190"/>
      <c r="N6" s="190"/>
      <c r="O6" s="190"/>
      <c r="P6" s="191"/>
      <c r="Q6" s="72"/>
      <c r="R6" s="301"/>
      <c r="S6" s="190"/>
      <c r="T6" s="190"/>
      <c r="U6" s="190"/>
      <c r="V6" s="190"/>
      <c r="W6" s="191"/>
      <c r="X6" s="108"/>
      <c r="Y6" s="189"/>
      <c r="Z6" s="190"/>
      <c r="AA6" s="190"/>
      <c r="AB6" s="190"/>
      <c r="AC6" s="190"/>
      <c r="AD6" s="191"/>
      <c r="AE6" s="54"/>
    </row>
    <row r="7" spans="1:31" ht="15.75" thickBot="1" x14ac:dyDescent="0.3">
      <c r="A7" s="35"/>
      <c r="B7" s="36"/>
      <c r="C7" s="37"/>
      <c r="D7" s="181"/>
      <c r="E7" s="182"/>
      <c r="F7" s="182"/>
      <c r="G7" s="182"/>
      <c r="H7" s="182"/>
      <c r="I7" s="182"/>
      <c r="J7" s="75"/>
      <c r="K7" s="181"/>
      <c r="L7" s="182"/>
      <c r="M7" s="182"/>
      <c r="N7" s="182"/>
      <c r="O7" s="182"/>
      <c r="P7" s="182"/>
      <c r="Q7" s="75"/>
      <c r="R7" s="299"/>
      <c r="S7" s="300"/>
      <c r="T7" s="300"/>
      <c r="U7" s="300"/>
      <c r="V7" s="300"/>
      <c r="W7" s="300"/>
      <c r="X7" s="106"/>
      <c r="Y7" s="181"/>
      <c r="Z7" s="182"/>
      <c r="AA7" s="182"/>
      <c r="AB7" s="182"/>
      <c r="AC7" s="182"/>
      <c r="AD7" s="182"/>
    </row>
    <row r="8" spans="1:31" ht="15" customHeight="1" x14ac:dyDescent="0.25">
      <c r="A8" s="185" t="s">
        <v>55</v>
      </c>
      <c r="B8" s="186" t="s">
        <v>56</v>
      </c>
      <c r="C8" s="58" t="s">
        <v>57</v>
      </c>
      <c r="D8" s="197" t="s">
        <v>162</v>
      </c>
      <c r="E8" s="198"/>
      <c r="F8" s="198"/>
      <c r="G8" s="198"/>
      <c r="H8" s="198"/>
      <c r="I8" s="198"/>
      <c r="J8" s="75"/>
      <c r="K8" s="197" t="s">
        <v>186</v>
      </c>
      <c r="L8" s="198"/>
      <c r="M8" s="198"/>
      <c r="N8" s="198"/>
      <c r="O8" s="198"/>
      <c r="P8" s="198"/>
      <c r="Q8" s="75"/>
      <c r="R8" s="197" t="s">
        <v>214</v>
      </c>
      <c r="S8" s="198"/>
      <c r="T8" s="198"/>
      <c r="U8" s="198"/>
      <c r="V8" s="198"/>
      <c r="W8" s="198"/>
      <c r="X8" s="106"/>
      <c r="Y8" s="304" t="s">
        <v>215</v>
      </c>
      <c r="Z8" s="305"/>
      <c r="AA8" s="305"/>
      <c r="AB8" s="305"/>
      <c r="AC8" s="305"/>
      <c r="AD8" s="306"/>
    </row>
    <row r="9" spans="1:31" x14ac:dyDescent="0.25">
      <c r="A9" s="185"/>
      <c r="B9" s="186"/>
      <c r="C9" s="59" t="s">
        <v>58</v>
      </c>
      <c r="D9" s="204" t="s">
        <v>230</v>
      </c>
      <c r="E9" s="205"/>
      <c r="F9" s="205"/>
      <c r="G9" s="205"/>
      <c r="H9" s="205"/>
      <c r="I9" s="206"/>
      <c r="J9" s="75"/>
      <c r="K9" s="183" t="s">
        <v>189</v>
      </c>
      <c r="L9" s="184"/>
      <c r="M9" s="184"/>
      <c r="N9" s="184"/>
      <c r="O9" s="184"/>
      <c r="P9" s="184"/>
      <c r="Q9" s="75"/>
      <c r="R9" s="183" t="s">
        <v>216</v>
      </c>
      <c r="S9" s="184"/>
      <c r="T9" s="184"/>
      <c r="U9" s="184"/>
      <c r="V9" s="184"/>
      <c r="W9" s="184"/>
      <c r="X9" s="106"/>
      <c r="Y9" s="204" t="s">
        <v>218</v>
      </c>
      <c r="Z9" s="205"/>
      <c r="AA9" s="205"/>
      <c r="AB9" s="205"/>
      <c r="AC9" s="205"/>
      <c r="AD9" s="206"/>
    </row>
    <row r="10" spans="1:31" ht="15.75" thickBot="1" x14ac:dyDescent="0.3">
      <c r="A10" s="185"/>
      <c r="B10" s="186"/>
      <c r="C10" s="60" t="s">
        <v>59</v>
      </c>
      <c r="D10" s="207" t="s">
        <v>190</v>
      </c>
      <c r="E10" s="208"/>
      <c r="F10" s="208"/>
      <c r="G10" s="208"/>
      <c r="H10" s="208"/>
      <c r="I10" s="209"/>
      <c r="J10" s="75"/>
      <c r="K10" s="187"/>
      <c r="L10" s="188"/>
      <c r="M10" s="188"/>
      <c r="N10" s="188"/>
      <c r="O10" s="188"/>
      <c r="P10" s="188"/>
      <c r="Q10" s="75"/>
      <c r="R10" s="183" t="s">
        <v>219</v>
      </c>
      <c r="S10" s="184"/>
      <c r="T10" s="184"/>
      <c r="U10" s="184"/>
      <c r="V10" s="184"/>
      <c r="W10" s="184"/>
      <c r="X10" s="106"/>
      <c r="Y10" s="187"/>
      <c r="Z10" s="188"/>
      <c r="AA10" s="188"/>
      <c r="AB10" s="188"/>
      <c r="AC10" s="188"/>
      <c r="AD10" s="188"/>
    </row>
    <row r="11" spans="1:31" ht="15.75" thickBot="1" x14ac:dyDescent="0.3">
      <c r="A11" s="38"/>
      <c r="B11" s="39"/>
      <c r="C11" s="39"/>
      <c r="D11" s="181"/>
      <c r="E11" s="182"/>
      <c r="F11" s="182"/>
      <c r="G11" s="182"/>
      <c r="H11" s="182"/>
      <c r="I11" s="182"/>
      <c r="J11" s="75"/>
      <c r="K11" s="181"/>
      <c r="L11" s="182"/>
      <c r="M11" s="182"/>
      <c r="N11" s="182"/>
      <c r="O11" s="182"/>
      <c r="P11" s="182"/>
      <c r="Q11" s="75"/>
      <c r="R11" s="181"/>
      <c r="S11" s="182"/>
      <c r="T11" s="182"/>
      <c r="U11" s="182"/>
      <c r="V11" s="182"/>
      <c r="W11" s="182"/>
      <c r="X11" s="106"/>
      <c r="Y11" s="181"/>
      <c r="Z11" s="182"/>
      <c r="AA11" s="182"/>
      <c r="AB11" s="182"/>
      <c r="AC11" s="182"/>
      <c r="AD11" s="182"/>
    </row>
    <row r="12" spans="1:31" ht="15" customHeight="1" x14ac:dyDescent="0.25">
      <c r="A12" s="210" t="s">
        <v>60</v>
      </c>
      <c r="B12" s="213" t="s">
        <v>61</v>
      </c>
      <c r="C12" s="62" t="s">
        <v>62</v>
      </c>
      <c r="D12" s="216" t="s">
        <v>63</v>
      </c>
      <c r="E12" s="217"/>
      <c r="F12" s="217"/>
      <c r="G12" s="217"/>
      <c r="H12" s="217"/>
      <c r="I12" s="217"/>
      <c r="J12" s="75"/>
      <c r="K12" s="216" t="s">
        <v>65</v>
      </c>
      <c r="L12" s="217"/>
      <c r="M12" s="217"/>
      <c r="N12" s="217"/>
      <c r="O12" s="217"/>
      <c r="P12" s="217"/>
      <c r="Q12" s="75"/>
      <c r="R12" s="216" t="s">
        <v>140</v>
      </c>
      <c r="S12" s="217"/>
      <c r="T12" s="217"/>
      <c r="U12" s="217"/>
      <c r="V12" s="217"/>
      <c r="W12" s="217"/>
      <c r="X12" s="106"/>
      <c r="Y12" s="216" t="s">
        <v>64</v>
      </c>
      <c r="Z12" s="217"/>
      <c r="AA12" s="217"/>
      <c r="AB12" s="217"/>
      <c r="AC12" s="217"/>
      <c r="AD12" s="217"/>
    </row>
    <row r="13" spans="1:31" x14ac:dyDescent="0.25">
      <c r="A13" s="211"/>
      <c r="B13" s="214"/>
      <c r="C13" s="63" t="s">
        <v>66</v>
      </c>
      <c r="D13" s="199">
        <v>260</v>
      </c>
      <c r="E13" s="200"/>
      <c r="F13" s="200"/>
      <c r="G13" s="200"/>
      <c r="H13" s="200"/>
      <c r="I13" s="200"/>
      <c r="J13" s="75"/>
      <c r="K13" s="199">
        <v>8</v>
      </c>
      <c r="L13" s="200"/>
      <c r="M13" s="200"/>
      <c r="N13" s="200"/>
      <c r="O13" s="200"/>
      <c r="P13" s="200"/>
      <c r="Q13" s="75"/>
      <c r="R13" s="199">
        <v>180</v>
      </c>
      <c r="S13" s="200"/>
      <c r="T13" s="200"/>
      <c r="U13" s="200"/>
      <c r="V13" s="200"/>
      <c r="W13" s="200"/>
      <c r="X13" s="106"/>
      <c r="Y13" s="199">
        <v>18</v>
      </c>
      <c r="Z13" s="200"/>
      <c r="AA13" s="200"/>
      <c r="AB13" s="200"/>
      <c r="AC13" s="200"/>
      <c r="AD13" s="200"/>
    </row>
    <row r="14" spans="1:31" ht="15.75" thickBot="1" x14ac:dyDescent="0.3">
      <c r="A14" s="212"/>
      <c r="B14" s="215"/>
      <c r="C14" s="64" t="s">
        <v>67</v>
      </c>
      <c r="D14" s="192" t="s">
        <v>190</v>
      </c>
      <c r="E14" s="193"/>
      <c r="F14" s="193"/>
      <c r="G14" s="193"/>
      <c r="H14" s="193"/>
      <c r="I14" s="193"/>
      <c r="J14" s="75"/>
      <c r="K14" s="192" t="s">
        <v>223</v>
      </c>
      <c r="L14" s="193"/>
      <c r="M14" s="193"/>
      <c r="N14" s="193"/>
      <c r="O14" s="193"/>
      <c r="P14" s="193"/>
      <c r="Q14" s="75"/>
      <c r="R14" s="192" t="s">
        <v>231</v>
      </c>
      <c r="S14" s="193"/>
      <c r="T14" s="193"/>
      <c r="U14" s="193"/>
      <c r="V14" s="193"/>
      <c r="W14" s="193"/>
      <c r="X14" s="106"/>
      <c r="Y14" s="192" t="s">
        <v>222</v>
      </c>
      <c r="Z14" s="193"/>
      <c r="AA14" s="193"/>
      <c r="AB14" s="193"/>
      <c r="AC14" s="193"/>
      <c r="AD14" s="193"/>
    </row>
    <row r="15" spans="1:31" ht="15.75" thickBot="1" x14ac:dyDescent="0.3">
      <c r="A15" s="38"/>
      <c r="B15" s="39"/>
      <c r="C15" s="39"/>
      <c r="D15" s="181"/>
      <c r="E15" s="182"/>
      <c r="F15" s="182"/>
      <c r="G15" s="182"/>
      <c r="H15" s="182"/>
      <c r="I15" s="182"/>
      <c r="J15" s="75"/>
      <c r="K15" s="181"/>
      <c r="L15" s="182"/>
      <c r="M15" s="182"/>
      <c r="N15" s="182"/>
      <c r="O15" s="182"/>
      <c r="P15" s="182"/>
      <c r="Q15" s="75"/>
      <c r="R15" s="181"/>
      <c r="S15" s="182"/>
      <c r="T15" s="182"/>
      <c r="U15" s="182"/>
      <c r="V15" s="182"/>
      <c r="W15" s="182"/>
      <c r="X15" s="106"/>
      <c r="Y15" s="181"/>
      <c r="Z15" s="182"/>
      <c r="AA15" s="182"/>
      <c r="AB15" s="182"/>
      <c r="AC15" s="182"/>
      <c r="AD15" s="182"/>
    </row>
    <row r="16" spans="1:31" ht="15.75" customHeight="1" thickBot="1" x14ac:dyDescent="0.3">
      <c r="A16" s="221" t="s">
        <v>68</v>
      </c>
      <c r="B16" s="224" t="s">
        <v>69</v>
      </c>
      <c r="C16" s="40" t="s">
        <v>70</v>
      </c>
      <c r="D16" s="76" t="s">
        <v>71</v>
      </c>
      <c r="E16" s="77" t="s">
        <v>75</v>
      </c>
      <c r="F16" s="227" t="s">
        <v>72</v>
      </c>
      <c r="G16" s="228"/>
      <c r="H16" s="78" t="s">
        <v>73</v>
      </c>
      <c r="I16" s="79" t="s">
        <v>74</v>
      </c>
      <c r="J16" s="75"/>
      <c r="K16" s="76" t="s">
        <v>71</v>
      </c>
      <c r="L16" s="77" t="s">
        <v>75</v>
      </c>
      <c r="M16" s="227" t="s">
        <v>72</v>
      </c>
      <c r="N16" s="228"/>
      <c r="O16" s="78" t="s">
        <v>73</v>
      </c>
      <c r="P16" s="78" t="s">
        <v>74</v>
      </c>
      <c r="Q16" s="75"/>
      <c r="R16" s="76" t="s">
        <v>71</v>
      </c>
      <c r="S16" s="77" t="s">
        <v>75</v>
      </c>
      <c r="T16" s="227" t="s">
        <v>72</v>
      </c>
      <c r="U16" s="228"/>
      <c r="V16" s="78" t="s">
        <v>73</v>
      </c>
      <c r="W16" s="78" t="s">
        <v>74</v>
      </c>
      <c r="X16" s="106"/>
      <c r="Y16" s="76" t="s">
        <v>71</v>
      </c>
      <c r="Z16" s="77" t="s">
        <v>75</v>
      </c>
      <c r="AA16" s="227" t="s">
        <v>72</v>
      </c>
      <c r="AB16" s="228"/>
      <c r="AC16" s="78" t="s">
        <v>73</v>
      </c>
      <c r="AD16" s="79" t="s">
        <v>74</v>
      </c>
    </row>
    <row r="17" spans="1:30" ht="15" customHeight="1" thickBot="1" x14ac:dyDescent="0.3">
      <c r="A17" s="222"/>
      <c r="B17" s="225"/>
      <c r="C17" s="67" t="s">
        <v>76</v>
      </c>
      <c r="D17" s="112" t="s">
        <v>193</v>
      </c>
      <c r="E17" s="113">
        <v>0.34</v>
      </c>
      <c r="F17" s="318" t="s">
        <v>77</v>
      </c>
      <c r="G17" s="319"/>
      <c r="H17" s="114">
        <f>140*100/34</f>
        <v>411.76470588235293</v>
      </c>
      <c r="I17" s="83" t="s">
        <v>232</v>
      </c>
      <c r="J17" s="75"/>
      <c r="K17" s="80" t="s">
        <v>78</v>
      </c>
      <c r="L17" s="85">
        <v>0.46</v>
      </c>
      <c r="M17" s="234" t="s">
        <v>77</v>
      </c>
      <c r="N17" s="235"/>
      <c r="O17" s="115">
        <f>120*100/46</f>
        <v>260.86956521739131</v>
      </c>
      <c r="P17" s="83" t="s">
        <v>197</v>
      </c>
      <c r="Q17" s="75"/>
      <c r="R17" s="80"/>
      <c r="S17" s="86"/>
      <c r="T17" s="229"/>
      <c r="U17" s="230"/>
      <c r="V17" s="87"/>
      <c r="W17" s="87"/>
      <c r="X17" s="106"/>
      <c r="Y17" s="116" t="s">
        <v>193</v>
      </c>
      <c r="Z17" s="81">
        <v>0.34</v>
      </c>
      <c r="AA17" s="232"/>
      <c r="AB17" s="233"/>
      <c r="AC17" s="82">
        <f>140*100/34</f>
        <v>411.76470588235293</v>
      </c>
      <c r="AD17" s="83" t="s">
        <v>206</v>
      </c>
    </row>
    <row r="18" spans="1:30" ht="15.75" thickBot="1" x14ac:dyDescent="0.3">
      <c r="A18" s="222"/>
      <c r="B18" s="225"/>
      <c r="C18" s="42" t="s">
        <v>79</v>
      </c>
      <c r="D18" s="80"/>
      <c r="E18" s="86"/>
      <c r="F18" s="229"/>
      <c r="G18" s="230"/>
      <c r="H18" s="87"/>
      <c r="I18" s="87"/>
      <c r="J18" s="75"/>
      <c r="K18" s="90" t="s">
        <v>80</v>
      </c>
      <c r="L18" s="86">
        <v>0.46</v>
      </c>
      <c r="M18" s="234" t="s">
        <v>77</v>
      </c>
      <c r="N18" s="235"/>
      <c r="O18" s="82">
        <f>120*100/46</f>
        <v>260.86956521739131</v>
      </c>
      <c r="P18" s="83" t="s">
        <v>198</v>
      </c>
      <c r="Q18" s="75"/>
      <c r="R18" s="80"/>
      <c r="S18" s="86"/>
      <c r="T18" s="229"/>
      <c r="U18" s="230"/>
      <c r="V18" s="87"/>
      <c r="W18" s="87"/>
      <c r="X18" s="106"/>
      <c r="Y18" s="90"/>
      <c r="Z18" s="86"/>
      <c r="AA18" s="229"/>
      <c r="AB18" s="230"/>
      <c r="AC18" s="87"/>
      <c r="AD18" s="87"/>
    </row>
    <row r="19" spans="1:30" ht="18" x14ac:dyDescent="0.35">
      <c r="A19" s="222"/>
      <c r="B19" s="225"/>
      <c r="C19" s="42" t="s">
        <v>81</v>
      </c>
      <c r="D19" s="80"/>
      <c r="E19" s="87"/>
      <c r="F19" s="229"/>
      <c r="G19" s="230"/>
      <c r="H19" s="87"/>
      <c r="I19" s="87"/>
      <c r="J19" s="75"/>
      <c r="K19" s="90" t="s">
        <v>199</v>
      </c>
      <c r="L19" s="86">
        <v>0.5</v>
      </c>
      <c r="M19" s="234" t="s">
        <v>77</v>
      </c>
      <c r="N19" s="235"/>
      <c r="O19" s="82">
        <f>80*100/50</f>
        <v>160</v>
      </c>
      <c r="P19" s="83" t="s">
        <v>198</v>
      </c>
      <c r="Q19" s="75"/>
      <c r="R19" s="80"/>
      <c r="S19" s="86"/>
      <c r="T19" s="229"/>
      <c r="U19" s="230"/>
      <c r="V19" s="87"/>
      <c r="W19" s="87"/>
      <c r="X19" s="106"/>
      <c r="Y19" s="90"/>
      <c r="Z19" s="87"/>
      <c r="AA19" s="229"/>
      <c r="AB19" s="230"/>
      <c r="AC19" s="87"/>
      <c r="AD19" s="87"/>
    </row>
    <row r="20" spans="1:30" ht="18" x14ac:dyDescent="0.35">
      <c r="A20" s="222"/>
      <c r="B20" s="225"/>
      <c r="C20" s="42" t="s">
        <v>82</v>
      </c>
      <c r="D20" s="80"/>
      <c r="E20" s="87"/>
      <c r="F20" s="229"/>
      <c r="G20" s="230"/>
      <c r="H20" s="87"/>
      <c r="I20" s="87"/>
      <c r="J20" s="75"/>
      <c r="K20" s="80" t="s">
        <v>83</v>
      </c>
      <c r="L20" s="89" t="s">
        <v>200</v>
      </c>
      <c r="M20" s="231" t="s">
        <v>159</v>
      </c>
      <c r="N20" s="230"/>
      <c r="O20" s="82" t="s">
        <v>163</v>
      </c>
      <c r="P20" s="87" t="s">
        <v>201</v>
      </c>
      <c r="Q20" s="75"/>
      <c r="R20" s="80"/>
      <c r="S20" s="87"/>
      <c r="T20" s="229"/>
      <c r="U20" s="230"/>
      <c r="V20" s="87"/>
      <c r="W20" s="87"/>
      <c r="X20" s="106"/>
      <c r="Y20" s="84"/>
      <c r="Z20" s="87"/>
      <c r="AA20" s="229"/>
      <c r="AB20" s="230"/>
      <c r="AC20" s="87"/>
      <c r="AD20" s="87"/>
    </row>
    <row r="21" spans="1:30" x14ac:dyDescent="0.25">
      <c r="A21" s="222"/>
      <c r="B21" s="225"/>
      <c r="C21" s="42" t="s">
        <v>84</v>
      </c>
      <c r="D21" s="80"/>
      <c r="E21" s="87"/>
      <c r="F21" s="229"/>
      <c r="G21" s="230"/>
      <c r="H21" s="87"/>
      <c r="I21" s="87"/>
      <c r="J21" s="75"/>
      <c r="K21" s="80"/>
      <c r="L21" s="87"/>
      <c r="M21" s="229"/>
      <c r="N21" s="230"/>
      <c r="O21" s="87"/>
      <c r="P21" s="87"/>
      <c r="Q21" s="75"/>
      <c r="R21" s="80"/>
      <c r="S21" s="86"/>
      <c r="T21" s="229"/>
      <c r="U21" s="230"/>
      <c r="V21" s="87"/>
      <c r="W21" s="87"/>
      <c r="X21" s="106"/>
      <c r="Y21" s="84"/>
      <c r="Z21" s="90"/>
      <c r="AA21" s="229"/>
      <c r="AB21" s="230"/>
      <c r="AC21" s="87"/>
      <c r="AD21" s="87"/>
    </row>
    <row r="22" spans="1:30" x14ac:dyDescent="0.25">
      <c r="A22" s="222"/>
      <c r="B22" s="225"/>
      <c r="C22" s="42" t="s">
        <v>85</v>
      </c>
      <c r="D22" s="80"/>
      <c r="E22" s="87"/>
      <c r="F22" s="229"/>
      <c r="G22" s="230"/>
      <c r="H22" s="87"/>
      <c r="I22" s="87"/>
      <c r="J22" s="75"/>
      <c r="K22" s="80"/>
      <c r="L22" s="87"/>
      <c r="M22" s="229"/>
      <c r="N22" s="230"/>
      <c r="O22" s="87"/>
      <c r="P22" s="87"/>
      <c r="Q22" s="75"/>
      <c r="R22" s="80"/>
      <c r="S22" s="87"/>
      <c r="T22" s="229"/>
      <c r="U22" s="230"/>
      <c r="V22" s="87"/>
      <c r="W22" s="87"/>
      <c r="X22" s="106"/>
      <c r="Y22" s="80"/>
      <c r="Z22" s="87"/>
      <c r="AA22" s="229"/>
      <c r="AB22" s="230"/>
      <c r="AC22" s="87"/>
      <c r="AD22" s="87"/>
    </row>
    <row r="23" spans="1:30" ht="15.75" thickBot="1" x14ac:dyDescent="0.3">
      <c r="A23" s="222"/>
      <c r="B23" s="225"/>
      <c r="C23" s="43" t="s">
        <v>142</v>
      </c>
      <c r="D23" s="91"/>
      <c r="E23" s="92"/>
      <c r="F23" s="236"/>
      <c r="G23" s="237"/>
      <c r="H23" s="92"/>
      <c r="I23" s="92"/>
      <c r="J23" s="75"/>
      <c r="K23" s="91"/>
      <c r="L23" s="92"/>
      <c r="M23" s="236" t="s">
        <v>88</v>
      </c>
      <c r="N23" s="237"/>
      <c r="O23" s="92"/>
      <c r="P23" s="92"/>
      <c r="Q23" s="75"/>
      <c r="R23" s="91"/>
      <c r="S23" s="92"/>
      <c r="T23" s="236"/>
      <c r="U23" s="237"/>
      <c r="V23" s="92"/>
      <c r="W23" s="92"/>
      <c r="X23" s="106"/>
      <c r="Y23" s="91" t="s">
        <v>87</v>
      </c>
      <c r="Z23" s="93">
        <v>0.3</v>
      </c>
      <c r="AA23" s="236"/>
      <c r="AB23" s="237"/>
      <c r="AC23" s="92">
        <f>0.3*1.3*10</f>
        <v>3.9000000000000004</v>
      </c>
      <c r="AD23" s="92" t="s">
        <v>201</v>
      </c>
    </row>
    <row r="24" spans="1:30" ht="18" thickBot="1" x14ac:dyDescent="0.3">
      <c r="A24" s="222"/>
      <c r="B24" s="225"/>
      <c r="C24" s="40" t="s">
        <v>89</v>
      </c>
      <c r="D24" s="76" t="s">
        <v>71</v>
      </c>
      <c r="E24" s="78" t="s">
        <v>90</v>
      </c>
      <c r="F24" s="227" t="s">
        <v>160</v>
      </c>
      <c r="G24" s="228"/>
      <c r="H24" s="78" t="s">
        <v>203</v>
      </c>
      <c r="I24" s="78" t="s">
        <v>74</v>
      </c>
      <c r="J24" s="75"/>
      <c r="K24" s="76" t="s">
        <v>71</v>
      </c>
      <c r="L24" s="78" t="s">
        <v>90</v>
      </c>
      <c r="M24" s="227" t="s">
        <v>72</v>
      </c>
      <c r="N24" s="228"/>
      <c r="O24" s="78" t="s">
        <v>203</v>
      </c>
      <c r="P24" s="78" t="s">
        <v>74</v>
      </c>
      <c r="Q24" s="75"/>
      <c r="R24" s="76" t="s">
        <v>71</v>
      </c>
      <c r="S24" s="78" t="s">
        <v>90</v>
      </c>
      <c r="T24" s="227" t="s">
        <v>72</v>
      </c>
      <c r="U24" s="228"/>
      <c r="V24" s="78" t="s">
        <v>203</v>
      </c>
      <c r="W24" s="78" t="s">
        <v>74</v>
      </c>
      <c r="X24" s="106"/>
      <c r="Y24" s="76" t="s">
        <v>71</v>
      </c>
      <c r="Z24" s="78" t="s">
        <v>90</v>
      </c>
      <c r="AA24" s="227" t="s">
        <v>72</v>
      </c>
      <c r="AB24" s="228"/>
      <c r="AC24" s="78" t="s">
        <v>203</v>
      </c>
      <c r="AD24" s="78" t="s">
        <v>74</v>
      </c>
    </row>
    <row r="25" spans="1:30" x14ac:dyDescent="0.25">
      <c r="A25" s="222"/>
      <c r="B25" s="225"/>
      <c r="C25" s="41" t="s">
        <v>92</v>
      </c>
      <c r="D25" s="89"/>
      <c r="E25" s="83"/>
      <c r="F25" s="232"/>
      <c r="G25" s="233"/>
      <c r="H25" s="83"/>
      <c r="I25" s="83"/>
      <c r="J25" s="75"/>
      <c r="K25" s="89"/>
      <c r="L25" s="83"/>
      <c r="M25" s="232"/>
      <c r="N25" s="233"/>
      <c r="O25" s="83"/>
      <c r="P25" s="83"/>
      <c r="Q25" s="75"/>
      <c r="R25" s="89"/>
      <c r="S25" s="83"/>
      <c r="T25" s="232"/>
      <c r="U25" s="233"/>
      <c r="V25" s="83"/>
      <c r="W25" s="83"/>
      <c r="X25" s="106"/>
      <c r="Y25" s="89"/>
      <c r="Z25" s="83"/>
      <c r="AA25" s="232"/>
      <c r="AB25" s="233"/>
      <c r="AC25" s="83"/>
      <c r="AD25" s="83"/>
    </row>
    <row r="26" spans="1:30" ht="15.75" thickBot="1" x14ac:dyDescent="0.3">
      <c r="A26" s="223"/>
      <c r="B26" s="226"/>
      <c r="C26" s="44" t="s">
        <v>143</v>
      </c>
      <c r="D26" s="94"/>
      <c r="E26" s="95"/>
      <c r="F26" s="238"/>
      <c r="G26" s="239"/>
      <c r="H26" s="95"/>
      <c r="I26" s="95"/>
      <c r="J26" s="75"/>
      <c r="K26" s="94"/>
      <c r="L26" s="95"/>
      <c r="M26" s="238"/>
      <c r="N26" s="239"/>
      <c r="O26" s="95"/>
      <c r="P26" s="95"/>
      <c r="Q26" s="75"/>
      <c r="R26" s="94"/>
      <c r="S26" s="95"/>
      <c r="T26" s="238"/>
      <c r="U26" s="239"/>
      <c r="V26" s="95"/>
      <c r="W26" s="95"/>
      <c r="X26" s="106"/>
      <c r="Y26" s="94"/>
      <c r="Z26" s="95"/>
      <c r="AA26" s="238"/>
      <c r="AB26" s="239"/>
      <c r="AC26" s="95"/>
      <c r="AD26" s="95"/>
    </row>
    <row r="27" spans="1:30" ht="15.75" thickBot="1" x14ac:dyDescent="0.3">
      <c r="A27" s="45"/>
      <c r="B27" s="39"/>
      <c r="C27" s="39"/>
      <c r="D27" s="181"/>
      <c r="E27" s="182"/>
      <c r="F27" s="182"/>
      <c r="G27" s="182"/>
      <c r="H27" s="182"/>
      <c r="I27" s="182"/>
      <c r="J27" s="75"/>
      <c r="K27" s="181"/>
      <c r="L27" s="182"/>
      <c r="M27" s="182"/>
      <c r="N27" s="182"/>
      <c r="O27" s="182"/>
      <c r="P27" s="182"/>
      <c r="Q27" s="75"/>
      <c r="R27" s="181"/>
      <c r="S27" s="182"/>
      <c r="T27" s="182"/>
      <c r="U27" s="182"/>
      <c r="V27" s="182"/>
      <c r="W27" s="182"/>
      <c r="X27" s="106"/>
      <c r="Y27" s="181"/>
      <c r="Z27" s="182"/>
      <c r="AA27" s="182"/>
      <c r="AB27" s="182"/>
      <c r="AC27" s="182"/>
      <c r="AD27" s="182"/>
    </row>
    <row r="28" spans="1:30" ht="60" customHeight="1" thickBot="1" x14ac:dyDescent="0.3">
      <c r="A28" s="244" t="s">
        <v>94</v>
      </c>
      <c r="B28" s="224" t="s">
        <v>95</v>
      </c>
      <c r="C28" s="40"/>
      <c r="D28" s="96" t="s">
        <v>71</v>
      </c>
      <c r="E28" s="78" t="s">
        <v>72</v>
      </c>
      <c r="F28" s="227" t="s">
        <v>96</v>
      </c>
      <c r="G28" s="228"/>
      <c r="H28" s="247" t="s">
        <v>74</v>
      </c>
      <c r="I28" s="248"/>
      <c r="J28" s="75"/>
      <c r="K28" s="96" t="s">
        <v>71</v>
      </c>
      <c r="L28" s="117" t="s">
        <v>72</v>
      </c>
      <c r="M28" s="227" t="s">
        <v>96</v>
      </c>
      <c r="N28" s="228"/>
      <c r="O28" s="243" t="s">
        <v>74</v>
      </c>
      <c r="P28" s="243"/>
      <c r="Q28" s="75"/>
      <c r="R28" s="96" t="s">
        <v>71</v>
      </c>
      <c r="S28" s="78" t="s">
        <v>72</v>
      </c>
      <c r="T28" s="227" t="s">
        <v>96</v>
      </c>
      <c r="U28" s="228"/>
      <c r="V28" s="243" t="s">
        <v>74</v>
      </c>
      <c r="W28" s="243"/>
      <c r="X28" s="106"/>
      <c r="Y28" s="96" t="s">
        <v>71</v>
      </c>
      <c r="Z28" s="79" t="s">
        <v>72</v>
      </c>
      <c r="AA28" s="227" t="s">
        <v>96</v>
      </c>
      <c r="AB28" s="228"/>
      <c r="AC28" s="243" t="s">
        <v>74</v>
      </c>
      <c r="AD28" s="243"/>
    </row>
    <row r="29" spans="1:30" ht="17.25" customHeight="1" x14ac:dyDescent="0.25">
      <c r="A29" s="245"/>
      <c r="B29" s="225"/>
      <c r="C29" s="41" t="s">
        <v>97</v>
      </c>
      <c r="D29" s="97" t="s">
        <v>99</v>
      </c>
      <c r="E29" s="83"/>
      <c r="F29" s="232">
        <v>0.03</v>
      </c>
      <c r="G29" s="233"/>
      <c r="H29" s="240" t="s">
        <v>204</v>
      </c>
      <c r="I29" s="240"/>
      <c r="J29" s="75"/>
      <c r="K29" s="118" t="s">
        <v>102</v>
      </c>
      <c r="L29" s="119"/>
      <c r="M29" s="232">
        <v>1</v>
      </c>
      <c r="N29" s="233"/>
      <c r="O29" s="240" t="s">
        <v>206</v>
      </c>
      <c r="P29" s="240"/>
      <c r="Q29" s="75"/>
      <c r="R29" s="109" t="s">
        <v>144</v>
      </c>
      <c r="S29" s="83" t="s">
        <v>98</v>
      </c>
      <c r="T29" s="232">
        <v>1.5</v>
      </c>
      <c r="U29" s="233"/>
      <c r="V29" s="240" t="s">
        <v>233</v>
      </c>
      <c r="W29" s="240"/>
      <c r="X29" s="106"/>
      <c r="Y29" s="97" t="s">
        <v>100</v>
      </c>
      <c r="Z29" s="88" t="s">
        <v>101</v>
      </c>
      <c r="AA29" s="232">
        <v>2.5</v>
      </c>
      <c r="AB29" s="233"/>
      <c r="AC29" s="240" t="s">
        <v>205</v>
      </c>
      <c r="AD29" s="240"/>
    </row>
    <row r="30" spans="1:30" ht="17.25" customHeight="1" x14ac:dyDescent="0.25">
      <c r="A30" s="245"/>
      <c r="B30" s="225"/>
      <c r="C30" s="42" t="s">
        <v>97</v>
      </c>
      <c r="D30" s="98"/>
      <c r="E30" s="87"/>
      <c r="F30" s="229"/>
      <c r="G30" s="230"/>
      <c r="H30" s="249"/>
      <c r="I30" s="249"/>
      <c r="J30" s="75"/>
      <c r="K30" s="120"/>
      <c r="L30" s="119"/>
      <c r="M30" s="229"/>
      <c r="N30" s="230"/>
      <c r="O30" s="229"/>
      <c r="P30" s="230"/>
      <c r="Q30" s="75"/>
      <c r="R30" s="99"/>
      <c r="S30" s="83"/>
      <c r="T30" s="229"/>
      <c r="U30" s="230"/>
      <c r="V30" s="229"/>
      <c r="W30" s="230"/>
      <c r="X30" s="106"/>
      <c r="Y30" s="98" t="s">
        <v>103</v>
      </c>
      <c r="Z30" s="88" t="s">
        <v>101</v>
      </c>
      <c r="AA30" s="229">
        <v>0.2</v>
      </c>
      <c r="AB30" s="230"/>
      <c r="AC30" s="240" t="s">
        <v>205</v>
      </c>
      <c r="AD30" s="240"/>
    </row>
    <row r="31" spans="1:30" x14ac:dyDescent="0.25">
      <c r="A31" s="245"/>
      <c r="B31" s="225"/>
      <c r="C31" s="42" t="s">
        <v>104</v>
      </c>
      <c r="D31" s="98" t="s">
        <v>105</v>
      </c>
      <c r="E31" s="87"/>
      <c r="F31" s="229">
        <v>1</v>
      </c>
      <c r="G31" s="230"/>
      <c r="H31" s="249" t="s">
        <v>207</v>
      </c>
      <c r="I31" s="249"/>
      <c r="J31" s="75"/>
      <c r="K31" s="120" t="s">
        <v>106</v>
      </c>
      <c r="L31" s="119"/>
      <c r="M31" s="229">
        <v>0.5</v>
      </c>
      <c r="N31" s="230"/>
      <c r="O31" s="249" t="s">
        <v>201</v>
      </c>
      <c r="P31" s="249"/>
      <c r="Q31" s="75"/>
      <c r="R31" s="99"/>
      <c r="S31" s="83"/>
      <c r="T31" s="229"/>
      <c r="U31" s="230"/>
      <c r="V31" s="249"/>
      <c r="W31" s="249"/>
      <c r="X31" s="106"/>
      <c r="Y31" s="99"/>
      <c r="Z31" s="110"/>
      <c r="AA31" s="229"/>
      <c r="AB31" s="230"/>
      <c r="AC31" s="249"/>
      <c r="AD31" s="249"/>
    </row>
    <row r="32" spans="1:30" x14ac:dyDescent="0.25">
      <c r="A32" s="245"/>
      <c r="B32" s="225"/>
      <c r="C32" s="42" t="s">
        <v>107</v>
      </c>
      <c r="D32" s="98" t="s">
        <v>108</v>
      </c>
      <c r="E32" s="87"/>
      <c r="F32" s="249">
        <v>0.6</v>
      </c>
      <c r="G32" s="249"/>
      <c r="H32" s="249" t="s">
        <v>208</v>
      </c>
      <c r="I32" s="249"/>
      <c r="J32" s="75"/>
      <c r="K32" s="119" t="s">
        <v>110</v>
      </c>
      <c r="L32" s="119"/>
      <c r="M32" s="249">
        <v>0.5</v>
      </c>
      <c r="N32" s="249"/>
      <c r="O32" s="249" t="s">
        <v>210</v>
      </c>
      <c r="P32" s="249"/>
      <c r="Q32" s="75"/>
      <c r="R32" s="99"/>
      <c r="S32" s="87"/>
      <c r="T32" s="249"/>
      <c r="U32" s="249"/>
      <c r="V32" s="249"/>
      <c r="W32" s="249"/>
      <c r="X32" s="106"/>
      <c r="Y32" s="98" t="s">
        <v>109</v>
      </c>
      <c r="Z32" s="88" t="s">
        <v>101</v>
      </c>
      <c r="AA32" s="249">
        <v>0.4</v>
      </c>
      <c r="AB32" s="249"/>
      <c r="AC32" s="249" t="s">
        <v>209</v>
      </c>
      <c r="AD32" s="249"/>
    </row>
    <row r="33" spans="1:31" x14ac:dyDescent="0.25">
      <c r="A33" s="245"/>
      <c r="B33" s="225"/>
      <c r="C33" s="42" t="s">
        <v>107</v>
      </c>
      <c r="D33" s="98" t="s">
        <v>111</v>
      </c>
      <c r="E33" s="87"/>
      <c r="F33" s="229">
        <v>0.7</v>
      </c>
      <c r="G33" s="230"/>
      <c r="H33" s="249" t="s">
        <v>208</v>
      </c>
      <c r="I33" s="249"/>
      <c r="J33" s="75"/>
      <c r="K33" s="99"/>
      <c r="L33" s="87"/>
      <c r="M33" s="229"/>
      <c r="N33" s="230"/>
      <c r="O33" s="229"/>
      <c r="P33" s="230"/>
      <c r="Q33" s="75"/>
      <c r="R33" s="99" t="s">
        <v>149</v>
      </c>
      <c r="S33" s="87"/>
      <c r="T33" s="229">
        <v>0.7</v>
      </c>
      <c r="U33" s="230"/>
      <c r="V33" s="240" t="s">
        <v>201</v>
      </c>
      <c r="W33" s="240"/>
      <c r="X33" s="106"/>
      <c r="Y33" s="99"/>
      <c r="Z33" s="110"/>
      <c r="AA33" s="229"/>
      <c r="AB33" s="230"/>
      <c r="AC33" s="229"/>
      <c r="AD33" s="230"/>
    </row>
    <row r="34" spans="1:31" ht="15.75" thickBot="1" x14ac:dyDescent="0.3">
      <c r="A34" s="245"/>
      <c r="B34" s="225"/>
      <c r="C34" s="44" t="s">
        <v>107</v>
      </c>
      <c r="D34" s="100"/>
      <c r="E34" s="95"/>
      <c r="F34" s="238"/>
      <c r="G34" s="239"/>
      <c r="H34" s="320"/>
      <c r="I34" s="321"/>
      <c r="J34" s="75"/>
      <c r="K34" s="100"/>
      <c r="L34" s="95"/>
      <c r="M34" s="238"/>
      <c r="N34" s="239"/>
      <c r="O34" s="238"/>
      <c r="P34" s="239"/>
      <c r="Q34" s="75"/>
      <c r="R34" s="100" t="s">
        <v>110</v>
      </c>
      <c r="S34" s="95"/>
      <c r="T34" s="238">
        <v>0.75</v>
      </c>
      <c r="U34" s="239"/>
      <c r="V34" s="240" t="s">
        <v>201</v>
      </c>
      <c r="W34" s="240"/>
      <c r="X34" s="106"/>
      <c r="Y34" s="100"/>
      <c r="Z34" s="95"/>
      <c r="AA34" s="238"/>
      <c r="AB34" s="239"/>
      <c r="AC34" s="238"/>
      <c r="AD34" s="239"/>
    </row>
    <row r="35" spans="1:31" s="47" customFormat="1" ht="15.75" thickBot="1" x14ac:dyDescent="0.3">
      <c r="A35" s="246"/>
      <c r="B35" s="226"/>
      <c r="C35" s="40" t="s">
        <v>112</v>
      </c>
      <c r="D35" s="254"/>
      <c r="E35" s="254"/>
      <c r="F35" s="254"/>
      <c r="G35" s="228"/>
      <c r="H35" s="253"/>
      <c r="I35" s="253"/>
      <c r="J35" s="101"/>
      <c r="K35" s="254"/>
      <c r="L35" s="254"/>
      <c r="M35" s="254"/>
      <c r="N35" s="228"/>
      <c r="O35" s="253"/>
      <c r="P35" s="253"/>
      <c r="Q35" s="101"/>
      <c r="R35" s="309"/>
      <c r="S35" s="254"/>
      <c r="T35" s="254"/>
      <c r="U35" s="228"/>
      <c r="V35" s="253"/>
      <c r="W35" s="253"/>
      <c r="X35" s="101"/>
      <c r="Y35" s="254"/>
      <c r="Z35" s="254"/>
      <c r="AA35" s="254"/>
      <c r="AB35" s="228"/>
      <c r="AC35" s="253"/>
      <c r="AD35" s="253"/>
      <c r="AE35" s="46"/>
    </row>
    <row r="36" spans="1:31" ht="15.75" thickBot="1" x14ac:dyDescent="0.3">
      <c r="A36" s="38"/>
      <c r="B36" s="39"/>
      <c r="C36" s="39"/>
      <c r="D36" s="181"/>
      <c r="E36" s="182"/>
      <c r="F36" s="182"/>
      <c r="G36" s="182"/>
      <c r="H36" s="182"/>
      <c r="I36" s="182"/>
      <c r="J36" s="75"/>
      <c r="K36" s="181"/>
      <c r="L36" s="182"/>
      <c r="M36" s="182"/>
      <c r="N36" s="182"/>
      <c r="O36" s="182"/>
      <c r="P36" s="182"/>
      <c r="Q36" s="75"/>
      <c r="R36" s="181"/>
      <c r="S36" s="182"/>
      <c r="T36" s="182"/>
      <c r="U36" s="182"/>
      <c r="V36" s="182"/>
      <c r="W36" s="182"/>
      <c r="X36" s="106"/>
      <c r="Y36" s="181"/>
      <c r="Z36" s="182"/>
      <c r="AA36" s="182"/>
      <c r="AB36" s="182"/>
      <c r="AC36" s="182"/>
      <c r="AD36" s="182"/>
    </row>
    <row r="37" spans="1:31" ht="15.75" customHeight="1" thickBot="1" x14ac:dyDescent="0.3">
      <c r="A37" s="255" t="s">
        <v>113</v>
      </c>
      <c r="B37" s="256" t="s">
        <v>114</v>
      </c>
      <c r="C37" s="62"/>
      <c r="D37" s="259" t="s">
        <v>115</v>
      </c>
      <c r="E37" s="260"/>
      <c r="F37" s="261" t="s">
        <v>67</v>
      </c>
      <c r="G37" s="261"/>
      <c r="H37" s="261"/>
      <c r="I37" s="261"/>
      <c r="J37" s="111" t="s">
        <v>115</v>
      </c>
      <c r="K37" s="259" t="s">
        <v>115</v>
      </c>
      <c r="L37" s="260"/>
      <c r="M37" s="261" t="s">
        <v>67</v>
      </c>
      <c r="N37" s="261"/>
      <c r="O37" s="261"/>
      <c r="P37" s="261"/>
      <c r="Q37" s="111"/>
      <c r="R37" s="259" t="s">
        <v>115</v>
      </c>
      <c r="S37" s="260"/>
      <c r="T37" s="261" t="s">
        <v>67</v>
      </c>
      <c r="U37" s="261"/>
      <c r="V37" s="261"/>
      <c r="W37" s="261"/>
      <c r="X37" s="111"/>
      <c r="Y37" s="259" t="s">
        <v>115</v>
      </c>
      <c r="Z37" s="260"/>
      <c r="AA37" s="261" t="s">
        <v>67</v>
      </c>
      <c r="AB37" s="261"/>
      <c r="AC37" s="261"/>
      <c r="AD37" s="261"/>
      <c r="AE37" s="48"/>
    </row>
    <row r="38" spans="1:31" ht="15" customHeight="1" thickBot="1" x14ac:dyDescent="0.3">
      <c r="A38" s="255"/>
      <c r="B38" s="257"/>
      <c r="C38" s="63" t="s">
        <v>116</v>
      </c>
      <c r="D38" s="262"/>
      <c r="E38" s="263"/>
      <c r="F38" s="311" t="s">
        <v>228</v>
      </c>
      <c r="G38" s="219"/>
      <c r="H38" s="219"/>
      <c r="I38" s="220"/>
      <c r="J38" s="75"/>
      <c r="K38" s="262"/>
      <c r="L38" s="263"/>
      <c r="M38" s="200" t="s">
        <v>213</v>
      </c>
      <c r="N38" s="200"/>
      <c r="O38" s="200"/>
      <c r="P38" s="200"/>
      <c r="Q38" s="75"/>
      <c r="R38" s="262" t="s">
        <v>117</v>
      </c>
      <c r="S38" s="263"/>
      <c r="T38" s="311" t="s">
        <v>228</v>
      </c>
      <c r="U38" s="219"/>
      <c r="V38" s="219"/>
      <c r="W38" s="220"/>
      <c r="X38" s="106"/>
      <c r="Y38" s="262" t="s">
        <v>164</v>
      </c>
      <c r="Z38" s="263"/>
      <c r="AA38" s="264"/>
      <c r="AB38" s="264"/>
      <c r="AC38" s="264"/>
      <c r="AD38" s="264"/>
    </row>
    <row r="39" spans="1:31" x14ac:dyDescent="0.25">
      <c r="A39" s="255"/>
      <c r="B39" s="257"/>
      <c r="C39" s="63" t="s">
        <v>118</v>
      </c>
      <c r="D39" s="202"/>
      <c r="E39" s="203"/>
      <c r="F39" s="311" t="s">
        <v>228</v>
      </c>
      <c r="G39" s="219"/>
      <c r="H39" s="219"/>
      <c r="I39" s="220"/>
      <c r="J39" s="75"/>
      <c r="K39" s="202"/>
      <c r="L39" s="203"/>
      <c r="M39" s="200"/>
      <c r="N39" s="200"/>
      <c r="O39" s="200"/>
      <c r="P39" s="200"/>
      <c r="Q39" s="75"/>
      <c r="R39" s="202"/>
      <c r="S39" s="203"/>
      <c r="T39" s="310"/>
      <c r="U39" s="202"/>
      <c r="V39" s="202"/>
      <c r="W39" s="203"/>
      <c r="X39" s="106"/>
      <c r="Y39" s="202"/>
      <c r="Z39" s="203"/>
      <c r="AA39" s="200"/>
      <c r="AB39" s="200"/>
      <c r="AC39" s="200"/>
      <c r="AD39" s="200"/>
    </row>
    <row r="40" spans="1:31" ht="15.75" thickBot="1" x14ac:dyDescent="0.3">
      <c r="A40" s="255"/>
      <c r="B40" s="258"/>
      <c r="C40" s="64" t="s">
        <v>119</v>
      </c>
      <c r="D40" s="195"/>
      <c r="E40" s="196"/>
      <c r="F40" s="193"/>
      <c r="G40" s="193"/>
      <c r="H40" s="193"/>
      <c r="I40" s="193"/>
      <c r="J40" s="75"/>
      <c r="K40" s="195"/>
      <c r="L40" s="196"/>
      <c r="M40" s="193"/>
      <c r="N40" s="193"/>
      <c r="O40" s="193"/>
      <c r="P40" s="193"/>
      <c r="Q40" s="75"/>
      <c r="R40" s="195" t="s">
        <v>234</v>
      </c>
      <c r="S40" s="196"/>
      <c r="T40" s="193"/>
      <c r="U40" s="193"/>
      <c r="V40" s="193"/>
      <c r="W40" s="193"/>
      <c r="X40" s="106"/>
      <c r="Y40" s="195"/>
      <c r="Z40" s="196"/>
      <c r="AA40" s="193"/>
      <c r="AB40" s="193"/>
      <c r="AC40" s="193"/>
      <c r="AD40" s="193"/>
    </row>
    <row r="41" spans="1:31" ht="15.75" thickBot="1" x14ac:dyDescent="0.3">
      <c r="A41" s="38"/>
      <c r="B41" s="39"/>
      <c r="C41" s="39"/>
      <c r="D41" s="181"/>
      <c r="E41" s="182"/>
      <c r="F41" s="182"/>
      <c r="G41" s="182"/>
      <c r="H41" s="182"/>
      <c r="I41" s="182"/>
      <c r="J41" s="75"/>
      <c r="K41" s="181"/>
      <c r="L41" s="182"/>
      <c r="M41" s="182"/>
      <c r="N41" s="182"/>
      <c r="O41" s="182"/>
      <c r="P41" s="182"/>
      <c r="Q41" s="75"/>
      <c r="R41" s="181"/>
      <c r="S41" s="182"/>
      <c r="T41" s="182"/>
      <c r="U41" s="182"/>
      <c r="V41" s="182"/>
      <c r="W41" s="182"/>
      <c r="X41" s="106"/>
      <c r="Y41" s="181"/>
      <c r="Z41" s="182"/>
      <c r="AA41" s="182"/>
      <c r="AB41" s="182"/>
      <c r="AC41" s="182"/>
      <c r="AD41" s="182"/>
    </row>
    <row r="42" spans="1:31" ht="15" customHeight="1" thickBot="1" x14ac:dyDescent="0.3">
      <c r="A42" s="266" t="s">
        <v>120</v>
      </c>
      <c r="B42" s="268" t="s">
        <v>121</v>
      </c>
      <c r="C42" s="65"/>
      <c r="D42" s="102" t="s">
        <v>115</v>
      </c>
      <c r="E42" s="271" t="s">
        <v>122</v>
      </c>
      <c r="F42" s="272"/>
      <c r="G42" s="265" t="s">
        <v>123</v>
      </c>
      <c r="H42" s="265"/>
      <c r="I42" s="265"/>
      <c r="J42" s="75"/>
      <c r="K42" s="102" t="s">
        <v>115</v>
      </c>
      <c r="L42" s="271" t="s">
        <v>122</v>
      </c>
      <c r="M42" s="272"/>
      <c r="N42" s="265" t="s">
        <v>123</v>
      </c>
      <c r="O42" s="265"/>
      <c r="P42" s="265"/>
      <c r="Q42" s="75"/>
      <c r="R42" s="102" t="s">
        <v>115</v>
      </c>
      <c r="S42" s="271" t="s">
        <v>122</v>
      </c>
      <c r="T42" s="272"/>
      <c r="U42" s="265" t="s">
        <v>123</v>
      </c>
      <c r="V42" s="265"/>
      <c r="W42" s="265"/>
      <c r="X42" s="106"/>
      <c r="Y42" s="102" t="s">
        <v>115</v>
      </c>
      <c r="Z42" s="271" t="s">
        <v>122</v>
      </c>
      <c r="AA42" s="272"/>
      <c r="AB42" s="265" t="s">
        <v>123</v>
      </c>
      <c r="AC42" s="265"/>
      <c r="AD42" s="265"/>
    </row>
    <row r="43" spans="1:31" ht="15" customHeight="1" x14ac:dyDescent="0.25">
      <c r="A43" s="267"/>
      <c r="B43" s="269"/>
      <c r="C43" s="66" t="s">
        <v>124</v>
      </c>
      <c r="D43" s="103"/>
      <c r="E43" s="274">
        <v>5.0999999999999996</v>
      </c>
      <c r="F43" s="275"/>
      <c r="G43" s="276">
        <v>689</v>
      </c>
      <c r="H43" s="276"/>
      <c r="I43" s="276"/>
      <c r="J43" s="75"/>
      <c r="K43" s="103"/>
      <c r="L43" s="274">
        <v>3.6</v>
      </c>
      <c r="M43" s="275"/>
      <c r="N43" s="276">
        <f>L43*260</f>
        <v>936</v>
      </c>
      <c r="O43" s="276"/>
      <c r="P43" s="276"/>
      <c r="Q43" s="75"/>
      <c r="R43" s="103" t="s">
        <v>51</v>
      </c>
      <c r="S43" s="274">
        <v>2.5</v>
      </c>
      <c r="T43" s="275"/>
      <c r="U43" s="276">
        <f>S43*150</f>
        <v>375</v>
      </c>
      <c r="V43" s="276"/>
      <c r="W43" s="276"/>
      <c r="X43" s="106"/>
      <c r="Y43" s="103"/>
      <c r="Z43" s="274">
        <v>6.3</v>
      </c>
      <c r="AA43" s="275"/>
      <c r="AB43" s="276">
        <f>Z43*130</f>
        <v>819</v>
      </c>
      <c r="AC43" s="276"/>
      <c r="AD43" s="276"/>
    </row>
    <row r="44" spans="1:31" ht="15.75" thickBot="1" x14ac:dyDescent="0.3">
      <c r="A44" s="267"/>
      <c r="B44" s="270"/>
      <c r="C44" s="61" t="s">
        <v>125</v>
      </c>
      <c r="D44" s="103"/>
      <c r="E44" s="273"/>
      <c r="F44" s="209"/>
      <c r="G44" s="188"/>
      <c r="H44" s="188"/>
      <c r="I44" s="188"/>
      <c r="J44" s="75"/>
      <c r="K44" s="104"/>
      <c r="L44" s="273"/>
      <c r="M44" s="209"/>
      <c r="N44" s="188"/>
      <c r="O44" s="188"/>
      <c r="P44" s="188"/>
      <c r="Q44" s="75"/>
      <c r="R44" s="104"/>
      <c r="S44" s="273"/>
      <c r="T44" s="209"/>
      <c r="U44" s="188"/>
      <c r="V44" s="188"/>
      <c r="W44" s="188"/>
      <c r="X44" s="106"/>
      <c r="Y44" s="104"/>
      <c r="Z44" s="273"/>
      <c r="AA44" s="209"/>
      <c r="AB44" s="188"/>
      <c r="AC44" s="188"/>
      <c r="AD44" s="188"/>
    </row>
    <row r="45" spans="1:31" ht="15.75" thickBot="1" x14ac:dyDescent="0.3">
      <c r="A45" s="38"/>
      <c r="B45" s="39"/>
      <c r="C45" s="39"/>
      <c r="D45" s="181"/>
      <c r="E45" s="182"/>
      <c r="F45" s="182"/>
      <c r="G45" s="182"/>
      <c r="H45" s="182"/>
      <c r="I45" s="182"/>
      <c r="J45" s="75"/>
      <c r="K45" s="181"/>
      <c r="L45" s="182"/>
      <c r="M45" s="182"/>
      <c r="N45" s="182"/>
      <c r="O45" s="182"/>
      <c r="P45" s="182"/>
      <c r="Q45" s="75"/>
      <c r="R45" s="181"/>
      <c r="S45" s="182"/>
      <c r="T45" s="182"/>
      <c r="U45" s="182"/>
      <c r="V45" s="182"/>
      <c r="W45" s="182"/>
      <c r="X45" s="106"/>
      <c r="Y45" s="181"/>
      <c r="Z45" s="182"/>
      <c r="AA45" s="182"/>
      <c r="AB45" s="182"/>
      <c r="AC45" s="182"/>
      <c r="AD45" s="182"/>
    </row>
    <row r="46" spans="1:31" ht="15" customHeight="1" x14ac:dyDescent="0.25">
      <c r="A46" s="244" t="s">
        <v>126</v>
      </c>
      <c r="B46" s="281" t="s">
        <v>127</v>
      </c>
      <c r="C46" s="49" t="s">
        <v>128</v>
      </c>
      <c r="D46" s="235">
        <f>260*0.4</f>
        <v>104</v>
      </c>
      <c r="E46" s="284"/>
      <c r="F46" s="284"/>
      <c r="G46" s="284"/>
      <c r="H46" s="284"/>
      <c r="I46" s="284"/>
      <c r="J46" s="75"/>
      <c r="K46" s="235">
        <v>68.2</v>
      </c>
      <c r="L46" s="284"/>
      <c r="M46" s="284"/>
      <c r="N46" s="284"/>
      <c r="O46" s="284"/>
      <c r="P46" s="284"/>
      <c r="Q46" s="75"/>
      <c r="R46" s="235">
        <v>60</v>
      </c>
      <c r="S46" s="284"/>
      <c r="T46" s="284"/>
      <c r="U46" s="284"/>
      <c r="V46" s="284"/>
      <c r="W46" s="284"/>
      <c r="X46" s="106"/>
      <c r="Y46" s="235">
        <v>10.4</v>
      </c>
      <c r="Z46" s="284"/>
      <c r="AA46" s="284"/>
      <c r="AB46" s="284"/>
      <c r="AC46" s="284"/>
      <c r="AD46" s="284"/>
    </row>
    <row r="47" spans="1:31" x14ac:dyDescent="0.25">
      <c r="A47" s="245"/>
      <c r="B47" s="282"/>
      <c r="C47" s="50" t="s">
        <v>129</v>
      </c>
      <c r="D47" s="230">
        <f>0.4118*240</f>
        <v>98.831999999999994</v>
      </c>
      <c r="E47" s="249"/>
      <c r="F47" s="249"/>
      <c r="G47" s="249"/>
      <c r="H47" s="249"/>
      <c r="I47" s="249"/>
      <c r="J47" s="75"/>
      <c r="K47" s="279">
        <f>0.2609*315+0.2609*357+0.16*636+2*10.12</f>
        <v>297.32480000000004</v>
      </c>
      <c r="L47" s="280"/>
      <c r="M47" s="280"/>
      <c r="N47" s="280"/>
      <c r="O47" s="280"/>
      <c r="P47" s="280"/>
      <c r="Q47" s="75"/>
      <c r="R47" s="230">
        <f>86+110</f>
        <v>196</v>
      </c>
      <c r="S47" s="249"/>
      <c r="T47" s="249"/>
      <c r="U47" s="249"/>
      <c r="V47" s="249"/>
      <c r="W47" s="249"/>
      <c r="X47" s="106"/>
      <c r="Y47" s="230">
        <f>46.4+15.6</f>
        <v>62</v>
      </c>
      <c r="Z47" s="249"/>
      <c r="AA47" s="249"/>
      <c r="AB47" s="249"/>
      <c r="AC47" s="249"/>
      <c r="AD47" s="249"/>
    </row>
    <row r="48" spans="1:31" x14ac:dyDescent="0.25">
      <c r="A48" s="245"/>
      <c r="B48" s="282"/>
      <c r="C48" s="50" t="s">
        <v>130</v>
      </c>
      <c r="D48" s="230">
        <f>30*0.3+30+19.8+0.7*18</f>
        <v>71.399999999999991</v>
      </c>
      <c r="E48" s="249"/>
      <c r="F48" s="249"/>
      <c r="G48" s="249"/>
      <c r="H48" s="249"/>
      <c r="I48" s="249"/>
      <c r="J48" s="75"/>
      <c r="K48" s="230">
        <f>1*35+0.5*44+0.7*18</f>
        <v>69.599999999999994</v>
      </c>
      <c r="L48" s="249"/>
      <c r="M48" s="249"/>
      <c r="N48" s="249"/>
      <c r="O48" s="249"/>
      <c r="P48" s="249"/>
      <c r="Q48" s="75"/>
      <c r="R48" s="230">
        <f>T33/1000*35+1.5*25+0.75*18</f>
        <v>51.024500000000003</v>
      </c>
      <c r="S48" s="249"/>
      <c r="T48" s="249"/>
      <c r="U48" s="249"/>
      <c r="V48" s="249"/>
      <c r="W48" s="249"/>
      <c r="X48" s="106"/>
      <c r="Y48" s="285">
        <f>23*2.5+14+12</f>
        <v>83.5</v>
      </c>
      <c r="Z48" s="285"/>
      <c r="AA48" s="285"/>
      <c r="AB48" s="285"/>
      <c r="AC48" s="285"/>
      <c r="AD48" s="230"/>
    </row>
    <row r="49" spans="1:31" x14ac:dyDescent="0.25">
      <c r="A49" s="245"/>
      <c r="B49" s="282"/>
      <c r="C49" s="50" t="s">
        <v>131</v>
      </c>
      <c r="D49" s="277"/>
      <c r="E49" s="278"/>
      <c r="F49" s="278"/>
      <c r="G49" s="278"/>
      <c r="H49" s="278"/>
      <c r="I49" s="278"/>
      <c r="J49" s="75"/>
      <c r="K49" s="230">
        <v>70</v>
      </c>
      <c r="L49" s="249"/>
      <c r="M49" s="249"/>
      <c r="N49" s="249"/>
      <c r="O49" s="249"/>
      <c r="P49" s="249"/>
      <c r="Q49" s="75"/>
      <c r="R49" s="277"/>
      <c r="S49" s="278"/>
      <c r="T49" s="278"/>
      <c r="U49" s="278"/>
      <c r="V49" s="278"/>
      <c r="W49" s="278"/>
      <c r="X49" s="106"/>
      <c r="Y49" s="277"/>
      <c r="Z49" s="278"/>
      <c r="AA49" s="278"/>
      <c r="AB49" s="278"/>
      <c r="AC49" s="278"/>
      <c r="AD49" s="278"/>
    </row>
    <row r="50" spans="1:31" x14ac:dyDescent="0.25">
      <c r="A50" s="245"/>
      <c r="B50" s="282"/>
      <c r="C50" s="42" t="s">
        <v>132</v>
      </c>
      <c r="D50" s="277"/>
      <c r="E50" s="278"/>
      <c r="F50" s="278"/>
      <c r="G50" s="278"/>
      <c r="H50" s="278"/>
      <c r="I50" s="278"/>
      <c r="J50" s="75"/>
      <c r="K50" s="277"/>
      <c r="L50" s="278"/>
      <c r="M50" s="278"/>
      <c r="N50" s="278"/>
      <c r="O50" s="278"/>
      <c r="P50" s="278"/>
      <c r="Q50" s="75"/>
      <c r="R50" s="277">
        <v>0</v>
      </c>
      <c r="S50" s="278"/>
      <c r="T50" s="278"/>
      <c r="U50" s="278"/>
      <c r="V50" s="278"/>
      <c r="W50" s="278"/>
      <c r="X50" s="106"/>
      <c r="Y50" s="277"/>
      <c r="Z50" s="278"/>
      <c r="AA50" s="278"/>
      <c r="AB50" s="278"/>
      <c r="AC50" s="278"/>
      <c r="AD50" s="278"/>
    </row>
    <row r="51" spans="1:31" x14ac:dyDescent="0.25">
      <c r="A51" s="245"/>
      <c r="B51" s="282"/>
      <c r="C51" s="42" t="s">
        <v>133</v>
      </c>
      <c r="D51" s="277"/>
      <c r="E51" s="278"/>
      <c r="F51" s="278"/>
      <c r="G51" s="278"/>
      <c r="H51" s="278"/>
      <c r="I51" s="278"/>
      <c r="J51" s="75"/>
      <c r="K51" s="277"/>
      <c r="L51" s="278"/>
      <c r="M51" s="278"/>
      <c r="N51" s="278"/>
      <c r="O51" s="278"/>
      <c r="P51" s="278"/>
      <c r="Q51" s="75"/>
      <c r="R51" s="277">
        <v>0</v>
      </c>
      <c r="S51" s="278"/>
      <c r="T51" s="278"/>
      <c r="U51" s="278"/>
      <c r="V51" s="278"/>
      <c r="W51" s="278"/>
      <c r="X51" s="106"/>
      <c r="Y51" s="277"/>
      <c r="Z51" s="278"/>
      <c r="AA51" s="278"/>
      <c r="AB51" s="278"/>
      <c r="AC51" s="278"/>
      <c r="AD51" s="278"/>
    </row>
    <row r="52" spans="1:31" x14ac:dyDescent="0.25">
      <c r="A52" s="245"/>
      <c r="B52" s="282"/>
      <c r="C52" s="50" t="s">
        <v>134</v>
      </c>
      <c r="D52" s="277"/>
      <c r="E52" s="278"/>
      <c r="F52" s="278"/>
      <c r="G52" s="278"/>
      <c r="H52" s="278"/>
      <c r="I52" s="278"/>
      <c r="J52" s="75"/>
      <c r="K52" s="277"/>
      <c r="L52" s="278"/>
      <c r="M52" s="278"/>
      <c r="N52" s="278"/>
      <c r="O52" s="278"/>
      <c r="P52" s="278"/>
      <c r="Q52" s="75"/>
      <c r="R52" s="277">
        <v>0</v>
      </c>
      <c r="S52" s="278"/>
      <c r="T52" s="278"/>
      <c r="U52" s="278"/>
      <c r="V52" s="278"/>
      <c r="W52" s="278"/>
      <c r="X52" s="106"/>
      <c r="Y52" s="277"/>
      <c r="Z52" s="278"/>
      <c r="AA52" s="278"/>
      <c r="AB52" s="278"/>
      <c r="AC52" s="278"/>
      <c r="AD52" s="278"/>
    </row>
    <row r="53" spans="1:31" x14ac:dyDescent="0.25">
      <c r="A53" s="245"/>
      <c r="B53" s="282"/>
      <c r="C53" s="42" t="s">
        <v>135</v>
      </c>
      <c r="D53" s="279">
        <f>D46+D47+D48+D49+D50+D51+D52</f>
        <v>274.23199999999997</v>
      </c>
      <c r="E53" s="280"/>
      <c r="F53" s="280"/>
      <c r="G53" s="280"/>
      <c r="H53" s="280"/>
      <c r="I53" s="280"/>
      <c r="J53" s="75"/>
      <c r="K53" s="279">
        <f>K46+K47+K48+K49+K50+K51+K52</f>
        <v>505.12480000000005</v>
      </c>
      <c r="L53" s="280"/>
      <c r="M53" s="280"/>
      <c r="N53" s="280"/>
      <c r="O53" s="280"/>
      <c r="P53" s="280"/>
      <c r="Q53" s="75"/>
      <c r="R53" s="315">
        <f>R46+R47+R48+R49+R50+R51+R52</f>
        <v>307.02449999999999</v>
      </c>
      <c r="S53" s="315"/>
      <c r="T53" s="315"/>
      <c r="U53" s="315"/>
      <c r="V53" s="315"/>
      <c r="W53" s="279"/>
      <c r="X53" s="106"/>
      <c r="Y53" s="279">
        <f>Y46+Y47+Y48+Y49+Y50+Y51+Y52</f>
        <v>155.9</v>
      </c>
      <c r="Z53" s="280"/>
      <c r="AA53" s="280"/>
      <c r="AB53" s="280"/>
      <c r="AC53" s="280"/>
      <c r="AD53" s="280"/>
    </row>
    <row r="54" spans="1:31" ht="15" customHeight="1" x14ac:dyDescent="0.25">
      <c r="A54" s="245"/>
      <c r="B54" s="282"/>
      <c r="C54" s="286" t="s">
        <v>136</v>
      </c>
      <c r="D54" s="277">
        <v>110</v>
      </c>
      <c r="E54" s="278"/>
      <c r="F54" s="278"/>
      <c r="G54" s="278"/>
      <c r="H54" s="278"/>
      <c r="I54" s="278"/>
      <c r="J54" s="105"/>
      <c r="K54" s="277">
        <v>110</v>
      </c>
      <c r="L54" s="278"/>
      <c r="M54" s="278"/>
      <c r="N54" s="278"/>
      <c r="O54" s="278"/>
      <c r="P54" s="278"/>
      <c r="Q54" s="105"/>
      <c r="R54" s="277">
        <v>110</v>
      </c>
      <c r="S54" s="278"/>
      <c r="T54" s="278"/>
      <c r="U54" s="278"/>
      <c r="V54" s="278"/>
      <c r="W54" s="278"/>
      <c r="X54" s="105"/>
      <c r="Y54" s="277">
        <v>110</v>
      </c>
      <c r="Z54" s="278"/>
      <c r="AA54" s="278"/>
      <c r="AB54" s="278"/>
      <c r="AC54" s="278"/>
      <c r="AD54" s="278"/>
      <c r="AE54" s="51"/>
    </row>
    <row r="55" spans="1:31" ht="15.75" thickBot="1" x14ac:dyDescent="0.3">
      <c r="A55" s="246"/>
      <c r="B55" s="283"/>
      <c r="C55" s="287"/>
      <c r="D55" s="288"/>
      <c r="E55" s="289"/>
      <c r="F55" s="289"/>
      <c r="G55" s="289"/>
      <c r="H55" s="289"/>
      <c r="I55" s="289"/>
      <c r="J55" s="105"/>
      <c r="K55" s="288"/>
      <c r="L55" s="289"/>
      <c r="M55" s="289"/>
      <c r="N55" s="289"/>
      <c r="O55" s="289"/>
      <c r="P55" s="289"/>
      <c r="Q55" s="105"/>
      <c r="R55" s="288"/>
      <c r="S55" s="289"/>
      <c r="T55" s="289"/>
      <c r="U55" s="289"/>
      <c r="V55" s="289"/>
      <c r="W55" s="289"/>
      <c r="X55" s="105"/>
      <c r="Y55" s="288"/>
      <c r="Z55" s="289"/>
      <c r="AA55" s="289"/>
      <c r="AB55" s="289"/>
      <c r="AC55" s="289"/>
      <c r="AD55" s="289"/>
      <c r="AE55" s="51"/>
    </row>
    <row r="58" spans="1:31" x14ac:dyDescent="0.25">
      <c r="D58" s="55"/>
      <c r="K58" s="55"/>
      <c r="R58" s="55"/>
      <c r="Y58" s="55"/>
    </row>
    <row r="62" spans="1:31" x14ac:dyDescent="0.25">
      <c r="C62" s="55"/>
    </row>
  </sheetData>
  <mergeCells count="289">
    <mergeCell ref="R52:W52"/>
    <mergeCell ref="Y52:AD52"/>
    <mergeCell ref="D51:I51"/>
    <mergeCell ref="K51:P51"/>
    <mergeCell ref="R51:W51"/>
    <mergeCell ref="Y51:AD51"/>
    <mergeCell ref="C54:C55"/>
    <mergeCell ref="D54:I55"/>
    <mergeCell ref="K54:P55"/>
    <mergeCell ref="R54:W55"/>
    <mergeCell ref="Y54:AD55"/>
    <mergeCell ref="D53:I53"/>
    <mergeCell ref="K53:P53"/>
    <mergeCell ref="R53:W53"/>
    <mergeCell ref="Y53:AD53"/>
    <mergeCell ref="D47:I47"/>
    <mergeCell ref="K47:P47"/>
    <mergeCell ref="R47:W47"/>
    <mergeCell ref="Y47:AD47"/>
    <mergeCell ref="A46:A55"/>
    <mergeCell ref="B46:B55"/>
    <mergeCell ref="D46:I46"/>
    <mergeCell ref="K46:P46"/>
    <mergeCell ref="R46:W46"/>
    <mergeCell ref="Y46:AD46"/>
    <mergeCell ref="D48:I48"/>
    <mergeCell ref="K48:P48"/>
    <mergeCell ref="R48:W48"/>
    <mergeCell ref="Y48:AD48"/>
    <mergeCell ref="D50:I50"/>
    <mergeCell ref="K50:P50"/>
    <mergeCell ref="R50:W50"/>
    <mergeCell ref="Y50:AD50"/>
    <mergeCell ref="D49:I49"/>
    <mergeCell ref="K49:P49"/>
    <mergeCell ref="R49:W49"/>
    <mergeCell ref="Y49:AD49"/>
    <mergeCell ref="D52:I52"/>
    <mergeCell ref="K52:P52"/>
    <mergeCell ref="S43:T43"/>
    <mergeCell ref="U43:W43"/>
    <mergeCell ref="Z43:AA43"/>
    <mergeCell ref="AB43:AD43"/>
    <mergeCell ref="S42:T42"/>
    <mergeCell ref="U42:W42"/>
    <mergeCell ref="Z42:AA42"/>
    <mergeCell ref="AB42:AD42"/>
    <mergeCell ref="D45:I45"/>
    <mergeCell ref="K45:P45"/>
    <mergeCell ref="R45:W45"/>
    <mergeCell ref="Y45:AD45"/>
    <mergeCell ref="Z44:AA44"/>
    <mergeCell ref="AB44:AD44"/>
    <mergeCell ref="E44:F44"/>
    <mergeCell ref="G44:I44"/>
    <mergeCell ref="L44:M44"/>
    <mergeCell ref="N44:P44"/>
    <mergeCell ref="S44:T44"/>
    <mergeCell ref="U44:W44"/>
    <mergeCell ref="A37:A40"/>
    <mergeCell ref="B37:B40"/>
    <mergeCell ref="K37:L37"/>
    <mergeCell ref="M37:P37"/>
    <mergeCell ref="A42:A44"/>
    <mergeCell ref="B42:B44"/>
    <mergeCell ref="E42:F42"/>
    <mergeCell ref="G42:I42"/>
    <mergeCell ref="L42:M42"/>
    <mergeCell ref="N42:P42"/>
    <mergeCell ref="E43:F43"/>
    <mergeCell ref="G43:I43"/>
    <mergeCell ref="L43:M43"/>
    <mergeCell ref="D41:I41"/>
    <mergeCell ref="K41:P41"/>
    <mergeCell ref="D38:E38"/>
    <mergeCell ref="F38:I38"/>
    <mergeCell ref="K38:L38"/>
    <mergeCell ref="M38:P38"/>
    <mergeCell ref="D40:E40"/>
    <mergeCell ref="F40:I40"/>
    <mergeCell ref="N43:P43"/>
    <mergeCell ref="D39:E39"/>
    <mergeCell ref="F39:I39"/>
    <mergeCell ref="R41:W41"/>
    <mergeCell ref="Y41:AD41"/>
    <mergeCell ref="R40:S40"/>
    <mergeCell ref="T40:W40"/>
    <mergeCell ref="Y40:Z40"/>
    <mergeCell ref="AA40:AD40"/>
    <mergeCell ref="K39:L39"/>
    <mergeCell ref="M39:P39"/>
    <mergeCell ref="R39:S39"/>
    <mergeCell ref="T39:W39"/>
    <mergeCell ref="Y39:Z39"/>
    <mergeCell ref="AA39:AD39"/>
    <mergeCell ref="K40:L40"/>
    <mergeCell ref="M40:P40"/>
    <mergeCell ref="R38:S38"/>
    <mergeCell ref="T38:W38"/>
    <mergeCell ref="Y38:Z38"/>
    <mergeCell ref="AA38:AD38"/>
    <mergeCell ref="R37:S37"/>
    <mergeCell ref="T37:W37"/>
    <mergeCell ref="Y37:Z37"/>
    <mergeCell ref="AA37:AD37"/>
    <mergeCell ref="D37:E37"/>
    <mergeCell ref="F37:I37"/>
    <mergeCell ref="T33:U33"/>
    <mergeCell ref="V33:W33"/>
    <mergeCell ref="AA33:AB33"/>
    <mergeCell ref="D36:I36"/>
    <mergeCell ref="K36:P36"/>
    <mergeCell ref="R36:W36"/>
    <mergeCell ref="Y36:AD36"/>
    <mergeCell ref="R35:U35"/>
    <mergeCell ref="V35:W35"/>
    <mergeCell ref="Y35:AB35"/>
    <mergeCell ref="AC35:AD35"/>
    <mergeCell ref="AC33:AD33"/>
    <mergeCell ref="T32:U32"/>
    <mergeCell ref="V32:W32"/>
    <mergeCell ref="AA32:AB32"/>
    <mergeCell ref="AC32:AD32"/>
    <mergeCell ref="AA34:AB34"/>
    <mergeCell ref="AC34:AD34"/>
    <mergeCell ref="F31:G31"/>
    <mergeCell ref="H31:I31"/>
    <mergeCell ref="M31:N31"/>
    <mergeCell ref="O31:P31"/>
    <mergeCell ref="T31:U31"/>
    <mergeCell ref="V31:W31"/>
    <mergeCell ref="AA31:AB31"/>
    <mergeCell ref="O32:P32"/>
    <mergeCell ref="F34:G34"/>
    <mergeCell ref="H34:I34"/>
    <mergeCell ref="M34:N34"/>
    <mergeCell ref="O34:P34"/>
    <mergeCell ref="T34:U34"/>
    <mergeCell ref="V34:W34"/>
    <mergeCell ref="F33:G33"/>
    <mergeCell ref="H33:I33"/>
    <mergeCell ref="M33:N33"/>
    <mergeCell ref="O33:P33"/>
    <mergeCell ref="AA30:AB30"/>
    <mergeCell ref="AC30:AD30"/>
    <mergeCell ref="AC31:AD31"/>
    <mergeCell ref="F29:G29"/>
    <mergeCell ref="H29:I29"/>
    <mergeCell ref="M29:N29"/>
    <mergeCell ref="O29:P29"/>
    <mergeCell ref="T29:U29"/>
    <mergeCell ref="V29:W29"/>
    <mergeCell ref="AA29:AB29"/>
    <mergeCell ref="T28:U28"/>
    <mergeCell ref="V28:W28"/>
    <mergeCell ref="AA28:AB28"/>
    <mergeCell ref="AC28:AD28"/>
    <mergeCell ref="AC29:AD29"/>
    <mergeCell ref="A28:A35"/>
    <mergeCell ref="B28:B35"/>
    <mergeCell ref="F28:G28"/>
    <mergeCell ref="H28:I28"/>
    <mergeCell ref="M28:N28"/>
    <mergeCell ref="O28:P28"/>
    <mergeCell ref="D35:G35"/>
    <mergeCell ref="H35:I35"/>
    <mergeCell ref="K35:N35"/>
    <mergeCell ref="O35:P35"/>
    <mergeCell ref="F30:G30"/>
    <mergeCell ref="H30:I30"/>
    <mergeCell ref="M30:N30"/>
    <mergeCell ref="O30:P30"/>
    <mergeCell ref="F32:G32"/>
    <mergeCell ref="H32:I32"/>
    <mergeCell ref="M32:N32"/>
    <mergeCell ref="T30:U30"/>
    <mergeCell ref="V30:W30"/>
    <mergeCell ref="F24:G24"/>
    <mergeCell ref="M24:N24"/>
    <mergeCell ref="T24:U24"/>
    <mergeCell ref="AA24:AB24"/>
    <mergeCell ref="D27:I27"/>
    <mergeCell ref="K27:P27"/>
    <mergeCell ref="R27:W27"/>
    <mergeCell ref="Y27:AD27"/>
    <mergeCell ref="F26:G26"/>
    <mergeCell ref="M26:N26"/>
    <mergeCell ref="T26:U26"/>
    <mergeCell ref="AA26:AB26"/>
    <mergeCell ref="T25:U25"/>
    <mergeCell ref="AA25:AB25"/>
    <mergeCell ref="F20:G20"/>
    <mergeCell ref="M20:N20"/>
    <mergeCell ref="T20:U20"/>
    <mergeCell ref="AA20:AB20"/>
    <mergeCell ref="F23:G23"/>
    <mergeCell ref="M23:N23"/>
    <mergeCell ref="T23:U23"/>
    <mergeCell ref="AA23:AB23"/>
    <mergeCell ref="F22:G22"/>
    <mergeCell ref="M22:N22"/>
    <mergeCell ref="T22:U22"/>
    <mergeCell ref="AA22:AB22"/>
    <mergeCell ref="F19:G19"/>
    <mergeCell ref="M19:N19"/>
    <mergeCell ref="T19:U19"/>
    <mergeCell ref="AA19:AB19"/>
    <mergeCell ref="F17:G17"/>
    <mergeCell ref="M17:N17"/>
    <mergeCell ref="T17:U17"/>
    <mergeCell ref="AA17:AB17"/>
    <mergeCell ref="A16:A26"/>
    <mergeCell ref="B16:B26"/>
    <mergeCell ref="F16:G16"/>
    <mergeCell ref="M16:N16"/>
    <mergeCell ref="T16:U16"/>
    <mergeCell ref="AA16:AB16"/>
    <mergeCell ref="F18:G18"/>
    <mergeCell ref="M18:N18"/>
    <mergeCell ref="T18:U18"/>
    <mergeCell ref="AA18:AB18"/>
    <mergeCell ref="F21:G21"/>
    <mergeCell ref="M21:N21"/>
    <mergeCell ref="T21:U21"/>
    <mergeCell ref="AA21:AB21"/>
    <mergeCell ref="F25:G25"/>
    <mergeCell ref="M25:N25"/>
    <mergeCell ref="D15:I15"/>
    <mergeCell ref="K15:P15"/>
    <mergeCell ref="R15:W15"/>
    <mergeCell ref="Y15:AD15"/>
    <mergeCell ref="D13:I13"/>
    <mergeCell ref="K13:P13"/>
    <mergeCell ref="R13:W13"/>
    <mergeCell ref="Y13:AD13"/>
    <mergeCell ref="A12:A14"/>
    <mergeCell ref="B12:B14"/>
    <mergeCell ref="D12:I12"/>
    <mergeCell ref="K12:P12"/>
    <mergeCell ref="R12:W12"/>
    <mergeCell ref="Y12:AD12"/>
    <mergeCell ref="D14:I14"/>
    <mergeCell ref="K14:P14"/>
    <mergeCell ref="R14:W14"/>
    <mergeCell ref="Y14:AD14"/>
    <mergeCell ref="D11:I11"/>
    <mergeCell ref="K11:P11"/>
    <mergeCell ref="R11:W11"/>
    <mergeCell ref="Y11:AD11"/>
    <mergeCell ref="K9:P9"/>
    <mergeCell ref="R9:W9"/>
    <mergeCell ref="Y9:AD9"/>
    <mergeCell ref="A8:A10"/>
    <mergeCell ref="B8:B10"/>
    <mergeCell ref="D8:I8"/>
    <mergeCell ref="K8:P8"/>
    <mergeCell ref="R8:W8"/>
    <mergeCell ref="Y8:AD8"/>
    <mergeCell ref="K10:P10"/>
    <mergeCell ref="R10:W10"/>
    <mergeCell ref="Y10:AD10"/>
    <mergeCell ref="D9:I9"/>
    <mergeCell ref="D10:I10"/>
    <mergeCell ref="A3:A6"/>
    <mergeCell ref="B3:B6"/>
    <mergeCell ref="D3:I3"/>
    <mergeCell ref="K3:P3"/>
    <mergeCell ref="R3:W3"/>
    <mergeCell ref="Y3:AD3"/>
    <mergeCell ref="D5:I5"/>
    <mergeCell ref="K5:P5"/>
    <mergeCell ref="R5:W5"/>
    <mergeCell ref="Y5:AD5"/>
    <mergeCell ref="D2:I2"/>
    <mergeCell ref="K2:P2"/>
    <mergeCell ref="R2:W2"/>
    <mergeCell ref="Y2:AD2"/>
    <mergeCell ref="D4:I4"/>
    <mergeCell ref="K4:P4"/>
    <mergeCell ref="R4:W4"/>
    <mergeCell ref="Y4:AD4"/>
    <mergeCell ref="D7:I7"/>
    <mergeCell ref="K7:P7"/>
    <mergeCell ref="R7:W7"/>
    <mergeCell ref="Y7:AD7"/>
    <mergeCell ref="D6:I6"/>
    <mergeCell ref="K6:P6"/>
    <mergeCell ref="R6:W6"/>
    <mergeCell ref="Y6:AD6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61"/>
  <sheetViews>
    <sheetView workbookViewId="0">
      <selection activeCell="O18" sqref="O18"/>
    </sheetView>
  </sheetViews>
  <sheetFormatPr baseColWidth="10" defaultColWidth="11.42578125" defaultRowHeight="15" x14ac:dyDescent="0.25"/>
  <cols>
    <col min="1" max="1" width="16.42578125" bestFit="1" customWidth="1"/>
    <col min="5" max="5" width="14.85546875" bestFit="1" customWidth="1"/>
    <col min="9" max="9" width="14.85546875" bestFit="1" customWidth="1"/>
    <col min="13" max="13" width="14.85546875" bestFit="1" customWidth="1"/>
    <col min="17" max="17" width="14.85546875" bestFit="1" customWidth="1"/>
    <col min="21" max="21" width="14.85546875" bestFit="1" customWidth="1"/>
  </cols>
  <sheetData>
    <row r="5" spans="1:23" x14ac:dyDescent="0.25">
      <c r="A5" s="161" t="s">
        <v>150</v>
      </c>
      <c r="B5" s="161"/>
      <c r="C5" s="161"/>
      <c r="E5" s="161" t="s">
        <v>151</v>
      </c>
      <c r="F5" s="161"/>
      <c r="G5" s="161"/>
      <c r="I5" s="161" t="s">
        <v>152</v>
      </c>
      <c r="J5" s="161"/>
      <c r="K5" s="161"/>
      <c r="M5" s="56" t="s">
        <v>153</v>
      </c>
      <c r="N5" s="56"/>
      <c r="O5" s="56"/>
      <c r="P5" s="56"/>
      <c r="Q5" s="56"/>
      <c r="R5" s="56"/>
      <c r="S5" s="56"/>
      <c r="U5" s="161"/>
      <c r="V5" s="161"/>
      <c r="W5" s="161"/>
    </row>
    <row r="6" spans="1:23" x14ac:dyDescent="0.25">
      <c r="A6" t="s">
        <v>154</v>
      </c>
      <c r="B6" t="s">
        <v>12</v>
      </c>
      <c r="C6" t="s">
        <v>155</v>
      </c>
      <c r="E6" t="s">
        <v>154</v>
      </c>
      <c r="F6" t="s">
        <v>12</v>
      </c>
      <c r="G6" t="s">
        <v>155</v>
      </c>
      <c r="I6" t="s">
        <v>154</v>
      </c>
      <c r="J6" t="s">
        <v>12</v>
      </c>
      <c r="K6" t="s">
        <v>155</v>
      </c>
      <c r="M6" t="s">
        <v>154</v>
      </c>
      <c r="N6" t="s">
        <v>12</v>
      </c>
      <c r="O6" t="s">
        <v>155</v>
      </c>
    </row>
    <row r="7" spans="1:23" x14ac:dyDescent="0.25">
      <c r="A7">
        <v>1</v>
      </c>
      <c r="B7">
        <v>2009</v>
      </c>
      <c r="C7" s="55">
        <v>1.66</v>
      </c>
      <c r="E7">
        <v>1</v>
      </c>
      <c r="F7">
        <v>2009</v>
      </c>
      <c r="G7" s="55">
        <v>3.9873005909428727</v>
      </c>
      <c r="I7">
        <v>1</v>
      </c>
      <c r="J7">
        <v>2009</v>
      </c>
      <c r="K7" s="56">
        <v>6.4061237848207941</v>
      </c>
      <c r="M7">
        <v>1</v>
      </c>
      <c r="N7">
        <v>2009</v>
      </c>
      <c r="O7" s="56">
        <v>2.7276832300880169</v>
      </c>
      <c r="P7" s="56"/>
    </row>
    <row r="8" spans="1:23" x14ac:dyDescent="0.25">
      <c r="A8">
        <v>2</v>
      </c>
      <c r="B8">
        <v>2010</v>
      </c>
      <c r="C8" s="55">
        <v>1.83</v>
      </c>
      <c r="E8">
        <v>2</v>
      </c>
      <c r="F8">
        <v>2010</v>
      </c>
      <c r="G8" s="55">
        <v>4.4185266295422609</v>
      </c>
      <c r="I8">
        <v>2</v>
      </c>
      <c r="J8">
        <v>2010</v>
      </c>
      <c r="K8" s="56">
        <v>6.2907012842996934</v>
      </c>
      <c r="M8">
        <v>2</v>
      </c>
      <c r="N8">
        <v>2010</v>
      </c>
      <c r="O8" s="56">
        <v>2.9048687937840434</v>
      </c>
      <c r="P8" s="56"/>
      <c r="S8" s="55"/>
    </row>
    <row r="9" spans="1:23" x14ac:dyDescent="0.25">
      <c r="A9">
        <v>3</v>
      </c>
      <c r="B9">
        <v>2011</v>
      </c>
      <c r="C9" s="55">
        <v>1.82</v>
      </c>
      <c r="E9">
        <v>3</v>
      </c>
      <c r="F9">
        <v>2011</v>
      </c>
      <c r="G9" s="55">
        <v>4.7196833160975977</v>
      </c>
      <c r="I9">
        <v>3</v>
      </c>
      <c r="J9">
        <v>2011</v>
      </c>
      <c r="K9" s="56">
        <v>5.2044733763305828</v>
      </c>
      <c r="M9">
        <v>3</v>
      </c>
      <c r="N9">
        <v>2011</v>
      </c>
      <c r="O9" s="56">
        <v>2.726973468649148</v>
      </c>
      <c r="P9" s="56"/>
      <c r="S9" s="55"/>
    </row>
    <row r="10" spans="1:23" x14ac:dyDescent="0.25">
      <c r="A10">
        <v>4</v>
      </c>
      <c r="B10">
        <v>2012</v>
      </c>
      <c r="C10" s="55">
        <v>1.22</v>
      </c>
      <c r="E10">
        <v>4</v>
      </c>
      <c r="F10">
        <v>2012</v>
      </c>
      <c r="G10" s="55">
        <v>4.5595598607535415</v>
      </c>
      <c r="I10">
        <v>4</v>
      </c>
      <c r="J10">
        <v>2012</v>
      </c>
      <c r="K10" s="56">
        <v>4.5730381104076043</v>
      </c>
      <c r="M10">
        <v>4</v>
      </c>
      <c r="N10">
        <v>2012</v>
      </c>
      <c r="O10" s="56">
        <v>2.5774837036029465</v>
      </c>
      <c r="P10" s="56"/>
      <c r="S10" s="55"/>
    </row>
    <row r="11" spans="1:23" x14ac:dyDescent="0.25">
      <c r="A11">
        <v>5</v>
      </c>
      <c r="B11">
        <v>2013</v>
      </c>
      <c r="C11" s="55">
        <v>1.38</v>
      </c>
      <c r="E11">
        <v>5</v>
      </c>
      <c r="F11">
        <v>2013</v>
      </c>
      <c r="G11" s="55">
        <v>4.9885347808090765</v>
      </c>
      <c r="I11">
        <v>5</v>
      </c>
      <c r="J11">
        <v>2013</v>
      </c>
      <c r="K11" s="56">
        <v>6.5099112771421908</v>
      </c>
      <c r="M11">
        <v>5</v>
      </c>
      <c r="N11">
        <v>2013</v>
      </c>
      <c r="O11" s="56">
        <v>3.1471452943593312</v>
      </c>
      <c r="P11" s="56"/>
      <c r="S11" s="55"/>
    </row>
    <row r="12" spans="1:23" x14ac:dyDescent="0.25">
      <c r="A12">
        <v>6</v>
      </c>
      <c r="B12">
        <v>2014</v>
      </c>
      <c r="C12" s="55">
        <v>2.0499999999999998</v>
      </c>
      <c r="E12">
        <v>6</v>
      </c>
      <c r="F12">
        <v>2014</v>
      </c>
      <c r="G12" s="55">
        <v>5.0172245120725849</v>
      </c>
      <c r="I12">
        <v>6</v>
      </c>
      <c r="J12">
        <v>2014</v>
      </c>
      <c r="K12" s="56">
        <v>7.0232328772489989</v>
      </c>
      <c r="M12">
        <v>6</v>
      </c>
      <c r="N12">
        <v>2014</v>
      </c>
      <c r="O12" s="56">
        <v>3.5833133406982096</v>
      </c>
      <c r="P12" s="56"/>
      <c r="S12" s="55"/>
    </row>
    <row r="13" spans="1:23" x14ac:dyDescent="0.25">
      <c r="A13">
        <v>7</v>
      </c>
      <c r="B13">
        <v>2015</v>
      </c>
      <c r="C13" s="55">
        <v>1.78</v>
      </c>
      <c r="E13">
        <v>7</v>
      </c>
      <c r="F13">
        <v>2015</v>
      </c>
      <c r="G13" s="55">
        <v>5.3316253675686029</v>
      </c>
      <c r="I13">
        <v>7</v>
      </c>
      <c r="J13">
        <v>2015</v>
      </c>
      <c r="K13" s="56">
        <v>5.5076976760975764</v>
      </c>
      <c r="M13">
        <v>7</v>
      </c>
      <c r="N13">
        <v>2015</v>
      </c>
      <c r="O13" s="56">
        <v>3.2956365058007675</v>
      </c>
      <c r="P13" s="56"/>
      <c r="S13" s="55"/>
    </row>
    <row r="14" spans="1:23" x14ac:dyDescent="0.25">
      <c r="A14">
        <v>8</v>
      </c>
      <c r="B14">
        <v>2016</v>
      </c>
      <c r="C14" s="55">
        <v>2.1800000000000002</v>
      </c>
      <c r="E14">
        <v>8</v>
      </c>
      <c r="F14">
        <v>2016</v>
      </c>
      <c r="G14" s="55">
        <v>5.5482586205306266</v>
      </c>
      <c r="I14">
        <v>8</v>
      </c>
      <c r="J14">
        <v>2016</v>
      </c>
      <c r="K14" s="56">
        <v>6.1158204363275352</v>
      </c>
      <c r="M14">
        <v>8</v>
      </c>
      <c r="N14">
        <v>2016</v>
      </c>
      <c r="O14" s="56">
        <v>3.5478926889057147</v>
      </c>
      <c r="P14" s="56"/>
      <c r="S14" s="55"/>
    </row>
    <row r="15" spans="1:23" x14ac:dyDescent="0.25">
      <c r="A15">
        <v>9</v>
      </c>
      <c r="B15">
        <v>2017</v>
      </c>
      <c r="C15" s="55">
        <v>1.65</v>
      </c>
      <c r="E15">
        <v>9</v>
      </c>
      <c r="F15">
        <v>2017</v>
      </c>
      <c r="G15" s="55">
        <v>5.8130227556588592</v>
      </c>
      <c r="I15">
        <v>9</v>
      </c>
      <c r="J15">
        <v>2017</v>
      </c>
      <c r="K15" s="56">
        <v>5.8819122287647616</v>
      </c>
      <c r="M15">
        <v>9</v>
      </c>
      <c r="N15">
        <v>2017</v>
      </c>
      <c r="O15" s="56">
        <v>2.964235087700529</v>
      </c>
      <c r="P15" s="56"/>
      <c r="S15" s="55"/>
    </row>
    <row r="16" spans="1:23" x14ac:dyDescent="0.25">
      <c r="A16">
        <v>10</v>
      </c>
      <c r="B16">
        <v>2018</v>
      </c>
      <c r="C16" s="55">
        <v>1.73</v>
      </c>
      <c r="E16">
        <v>10</v>
      </c>
      <c r="F16">
        <v>2018</v>
      </c>
      <c r="G16" s="55">
        <v>5.35</v>
      </c>
      <c r="I16">
        <v>10</v>
      </c>
      <c r="J16">
        <v>2018</v>
      </c>
      <c r="K16">
        <v>6.2380000000000004</v>
      </c>
      <c r="M16">
        <v>10</v>
      </c>
      <c r="N16">
        <v>2018</v>
      </c>
      <c r="O16" s="56">
        <v>3.6618999999999997</v>
      </c>
      <c r="P16" s="56"/>
      <c r="S16" s="55"/>
    </row>
    <row r="17" spans="1:23" x14ac:dyDescent="0.25">
      <c r="C17" s="121">
        <f>_xlfn.STDEV.P(C7:C16)/AVERAGE(C7:C16)</f>
        <v>0.15503834138671332</v>
      </c>
      <c r="G17" s="121">
        <f>_xlfn.STDEV.P(G7:G16)/AVERAGE(G7:G16)</f>
        <v>0.10684491599323614</v>
      </c>
      <c r="K17" s="121">
        <f>_xlfn.STDEV.P(K7:K16)/AVERAGE(K7:K16)</f>
        <v>0.11283814522421731</v>
      </c>
      <c r="O17" s="121">
        <f>_xlfn.STDEV.P(O7:O16)/AVERAGE(O7:O16)</f>
        <v>0.11998869535803397</v>
      </c>
    </row>
    <row r="20" spans="1:23" x14ac:dyDescent="0.25">
      <c r="A20" s="161"/>
      <c r="B20" s="161"/>
      <c r="C20" s="161"/>
      <c r="E20" s="161"/>
      <c r="F20" s="161"/>
      <c r="G20" s="161"/>
      <c r="I20" s="161"/>
      <c r="J20" s="161"/>
      <c r="K20" s="161"/>
      <c r="M20" s="161"/>
      <c r="N20" s="161"/>
      <c r="O20" s="161"/>
      <c r="Q20" s="161"/>
      <c r="R20" s="161"/>
      <c r="S20" s="161"/>
      <c r="U20" s="161"/>
      <c r="V20" s="161"/>
      <c r="W20" s="161"/>
    </row>
    <row r="21" spans="1:23" x14ac:dyDescent="0.25">
      <c r="B21" s="69" t="s">
        <v>277</v>
      </c>
    </row>
    <row r="22" spans="1:23" x14ac:dyDescent="0.25">
      <c r="D22" t="s">
        <v>236</v>
      </c>
      <c r="E22" t="s">
        <v>237</v>
      </c>
      <c r="F22" t="s">
        <v>238</v>
      </c>
      <c r="G22" t="s">
        <v>239</v>
      </c>
    </row>
    <row r="23" spans="1:23" x14ac:dyDescent="0.25">
      <c r="B23" t="s">
        <v>240</v>
      </c>
      <c r="D23" t="s">
        <v>244</v>
      </c>
      <c r="E23" t="s">
        <v>241</v>
      </c>
      <c r="F23" t="s">
        <v>242</v>
      </c>
      <c r="H23" s="122">
        <f>AVERAGE(G17,K17,O17)</f>
        <v>0.11322391885849581</v>
      </c>
    </row>
    <row r="24" spans="1:23" x14ac:dyDescent="0.25">
      <c r="B24" t="s">
        <v>243</v>
      </c>
      <c r="D24" t="s">
        <v>137</v>
      </c>
      <c r="E24" t="s">
        <v>244</v>
      </c>
      <c r="F24" t="s">
        <v>241</v>
      </c>
      <c r="G24" t="s">
        <v>242</v>
      </c>
      <c r="H24" s="122">
        <f>AVERAGE(C17,G17,K17,O17)</f>
        <v>0.12367752449055018</v>
      </c>
    </row>
    <row r="25" spans="1:23" x14ac:dyDescent="0.25">
      <c r="B25" t="s">
        <v>245</v>
      </c>
      <c r="D25" t="s">
        <v>244</v>
      </c>
      <c r="E25" t="s">
        <v>242</v>
      </c>
      <c r="F25" t="s">
        <v>137</v>
      </c>
      <c r="G25" t="s">
        <v>241</v>
      </c>
      <c r="H25" s="122">
        <f>AVERAGE(C17,G17,K17,O17)</f>
        <v>0.12367752449055018</v>
      </c>
    </row>
    <row r="35" spans="1:23" x14ac:dyDescent="0.25">
      <c r="A35" s="161"/>
      <c r="B35" s="161"/>
      <c r="C35" s="161"/>
      <c r="E35" s="161"/>
      <c r="F35" s="161"/>
      <c r="G35" s="161"/>
      <c r="I35" s="161"/>
      <c r="J35" s="161"/>
      <c r="K35" s="161"/>
      <c r="M35" s="161"/>
      <c r="N35" s="161"/>
      <c r="O35" s="161"/>
      <c r="Q35" s="161"/>
      <c r="R35" s="161"/>
      <c r="S35" s="161"/>
      <c r="U35" s="161"/>
      <c r="V35" s="161"/>
      <c r="W35" s="161"/>
    </row>
    <row r="50" spans="1:23" x14ac:dyDescent="0.25">
      <c r="A50" s="161" t="s">
        <v>156</v>
      </c>
      <c r="B50" s="161"/>
      <c r="C50" s="161"/>
      <c r="E50" s="161" t="s">
        <v>156</v>
      </c>
      <c r="F50" s="161"/>
      <c r="G50" s="161"/>
      <c r="I50" s="161" t="s">
        <v>156</v>
      </c>
      <c r="J50" s="161"/>
      <c r="K50" s="161"/>
      <c r="M50" s="161" t="s">
        <v>156</v>
      </c>
      <c r="N50" s="161"/>
      <c r="O50" s="161"/>
      <c r="Q50" s="161" t="s">
        <v>156</v>
      </c>
      <c r="R50" s="161"/>
      <c r="S50" s="161"/>
      <c r="U50" s="161" t="s">
        <v>156</v>
      </c>
      <c r="V50" s="161"/>
      <c r="W50" s="161"/>
    </row>
    <row r="51" spans="1:23" x14ac:dyDescent="0.25">
      <c r="A51" t="s">
        <v>154</v>
      </c>
      <c r="B51" t="s">
        <v>12</v>
      </c>
      <c r="C51" t="s">
        <v>155</v>
      </c>
      <c r="E51" t="s">
        <v>154</v>
      </c>
      <c r="F51" t="s">
        <v>12</v>
      </c>
      <c r="G51" t="s">
        <v>155</v>
      </c>
      <c r="I51" t="s">
        <v>154</v>
      </c>
      <c r="J51" t="s">
        <v>12</v>
      </c>
      <c r="K51" t="s">
        <v>155</v>
      </c>
      <c r="M51" t="s">
        <v>154</v>
      </c>
      <c r="N51" t="s">
        <v>12</v>
      </c>
      <c r="O51" t="s">
        <v>155</v>
      </c>
      <c r="Q51" t="s">
        <v>154</v>
      </c>
      <c r="R51" t="s">
        <v>12</v>
      </c>
      <c r="S51" t="s">
        <v>155</v>
      </c>
      <c r="U51" t="s">
        <v>154</v>
      </c>
      <c r="V51" t="s">
        <v>12</v>
      </c>
      <c r="W51" t="s">
        <v>155</v>
      </c>
    </row>
    <row r="52" spans="1:23" x14ac:dyDescent="0.25">
      <c r="A52">
        <v>1</v>
      </c>
      <c r="E52">
        <v>1</v>
      </c>
      <c r="I52">
        <v>1</v>
      </c>
      <c r="M52">
        <v>1</v>
      </c>
      <c r="Q52">
        <v>1</v>
      </c>
      <c r="U52">
        <v>1</v>
      </c>
    </row>
    <row r="53" spans="1:23" x14ac:dyDescent="0.25">
      <c r="A53">
        <v>2</v>
      </c>
      <c r="E53">
        <v>2</v>
      </c>
      <c r="I53">
        <v>2</v>
      </c>
      <c r="M53">
        <v>2</v>
      </c>
      <c r="Q53">
        <v>2</v>
      </c>
      <c r="U53">
        <v>2</v>
      </c>
    </row>
    <row r="54" spans="1:23" x14ac:dyDescent="0.25">
      <c r="A54">
        <v>3</v>
      </c>
      <c r="E54">
        <v>3</v>
      </c>
      <c r="I54">
        <v>3</v>
      </c>
      <c r="M54">
        <v>3</v>
      </c>
      <c r="Q54">
        <v>3</v>
      </c>
      <c r="U54">
        <v>3</v>
      </c>
    </row>
    <row r="55" spans="1:23" x14ac:dyDescent="0.25">
      <c r="A55">
        <v>4</v>
      </c>
      <c r="E55">
        <v>4</v>
      </c>
      <c r="I55">
        <v>4</v>
      </c>
      <c r="M55">
        <v>4</v>
      </c>
      <c r="Q55">
        <v>4</v>
      </c>
      <c r="U55">
        <v>4</v>
      </c>
    </row>
    <row r="56" spans="1:23" x14ac:dyDescent="0.25">
      <c r="A56">
        <v>5</v>
      </c>
      <c r="E56">
        <v>5</v>
      </c>
      <c r="I56">
        <v>5</v>
      </c>
      <c r="M56">
        <v>5</v>
      </c>
      <c r="Q56">
        <v>5</v>
      </c>
      <c r="U56">
        <v>5</v>
      </c>
    </row>
    <row r="57" spans="1:23" x14ac:dyDescent="0.25">
      <c r="A57">
        <v>6</v>
      </c>
      <c r="E57">
        <v>6</v>
      </c>
      <c r="I57">
        <v>6</v>
      </c>
      <c r="M57">
        <v>6</v>
      </c>
      <c r="Q57">
        <v>6</v>
      </c>
      <c r="U57">
        <v>6</v>
      </c>
    </row>
    <row r="58" spans="1:23" x14ac:dyDescent="0.25">
      <c r="A58">
        <v>7</v>
      </c>
      <c r="E58">
        <v>7</v>
      </c>
      <c r="I58">
        <v>7</v>
      </c>
      <c r="M58">
        <v>7</v>
      </c>
      <c r="Q58">
        <v>7</v>
      </c>
      <c r="U58">
        <v>7</v>
      </c>
    </row>
    <row r="59" spans="1:23" x14ac:dyDescent="0.25">
      <c r="A59">
        <v>8</v>
      </c>
      <c r="E59">
        <v>8</v>
      </c>
      <c r="I59">
        <v>8</v>
      </c>
      <c r="M59">
        <v>8</v>
      </c>
      <c r="Q59">
        <v>8</v>
      </c>
      <c r="U59">
        <v>8</v>
      </c>
    </row>
    <row r="60" spans="1:23" x14ac:dyDescent="0.25">
      <c r="A60">
        <v>9</v>
      </c>
      <c r="E60">
        <v>9</v>
      </c>
      <c r="I60">
        <v>9</v>
      </c>
      <c r="M60">
        <v>9</v>
      </c>
      <c r="Q60">
        <v>9</v>
      </c>
      <c r="U60">
        <v>9</v>
      </c>
    </row>
    <row r="61" spans="1:23" x14ac:dyDescent="0.25">
      <c r="A61">
        <v>10</v>
      </c>
      <c r="E61">
        <v>10</v>
      </c>
      <c r="I61">
        <v>10</v>
      </c>
      <c r="M61">
        <v>10</v>
      </c>
      <c r="Q61">
        <v>10</v>
      </c>
      <c r="U61">
        <v>10</v>
      </c>
    </row>
  </sheetData>
  <mergeCells count="22">
    <mergeCell ref="U50:W50"/>
    <mergeCell ref="A35:C35"/>
    <mergeCell ref="E35:G35"/>
    <mergeCell ref="I35:K35"/>
    <mergeCell ref="M35:O35"/>
    <mergeCell ref="Q35:S35"/>
    <mergeCell ref="U35:W35"/>
    <mergeCell ref="A50:C50"/>
    <mergeCell ref="E50:G50"/>
    <mergeCell ref="I50:K50"/>
    <mergeCell ref="M50:O50"/>
    <mergeCell ref="Q50:S50"/>
    <mergeCell ref="U20:W20"/>
    <mergeCell ref="A5:C5"/>
    <mergeCell ref="E5:G5"/>
    <mergeCell ref="I5:K5"/>
    <mergeCell ref="U5:W5"/>
    <mergeCell ref="A20:C20"/>
    <mergeCell ref="E20:G20"/>
    <mergeCell ref="I20:K20"/>
    <mergeCell ref="M20:O20"/>
    <mergeCell ref="Q20:S2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F25" sqref="F25"/>
    </sheetView>
  </sheetViews>
  <sheetFormatPr baseColWidth="10" defaultColWidth="11.42578125" defaultRowHeight="15" x14ac:dyDescent="0.25"/>
  <cols>
    <col min="1" max="1" width="27.85546875" customWidth="1"/>
    <col min="2" max="3" width="13.140625" bestFit="1" customWidth="1"/>
  </cols>
  <sheetData>
    <row r="1" spans="1:19" x14ac:dyDescent="0.25">
      <c r="B1" t="s">
        <v>236</v>
      </c>
      <c r="C1" t="s">
        <v>237</v>
      </c>
      <c r="D1" t="s">
        <v>238</v>
      </c>
      <c r="E1" t="s">
        <v>239</v>
      </c>
    </row>
    <row r="2" spans="1:19" x14ac:dyDescent="0.25">
      <c r="A2" t="s">
        <v>240</v>
      </c>
      <c r="B2" t="s">
        <v>244</v>
      </c>
      <c r="C2" t="s">
        <v>241</v>
      </c>
      <c r="D2" t="s">
        <v>242</v>
      </c>
    </row>
    <row r="3" spans="1:19" x14ac:dyDescent="0.25">
      <c r="A3" t="s">
        <v>243</v>
      </c>
      <c r="B3" t="s">
        <v>137</v>
      </c>
      <c r="C3" t="s">
        <v>244</v>
      </c>
      <c r="D3" t="s">
        <v>241</v>
      </c>
      <c r="E3" t="s">
        <v>242</v>
      </c>
    </row>
    <row r="4" spans="1:19" x14ac:dyDescent="0.25">
      <c r="A4" t="s">
        <v>245</v>
      </c>
      <c r="B4" t="s">
        <v>244</v>
      </c>
      <c r="C4" t="s">
        <v>242</v>
      </c>
      <c r="D4" t="s">
        <v>137</v>
      </c>
      <c r="E4" t="s">
        <v>241</v>
      </c>
    </row>
    <row r="6" spans="1:19" x14ac:dyDescent="0.25">
      <c r="B6">
        <v>2016</v>
      </c>
      <c r="C6">
        <v>2017</v>
      </c>
      <c r="D6">
        <v>2018</v>
      </c>
      <c r="I6">
        <v>2015</v>
      </c>
      <c r="J6">
        <v>2016</v>
      </c>
      <c r="K6">
        <v>2017</v>
      </c>
      <c r="L6">
        <v>2018</v>
      </c>
      <c r="P6">
        <v>2016</v>
      </c>
      <c r="Q6">
        <v>2017</v>
      </c>
      <c r="R6">
        <v>2018</v>
      </c>
      <c r="S6">
        <v>2019</v>
      </c>
    </row>
    <row r="7" spans="1:19" x14ac:dyDescent="0.25">
      <c r="B7" t="s">
        <v>244</v>
      </c>
      <c r="C7" t="s">
        <v>241</v>
      </c>
      <c r="D7" t="s">
        <v>242</v>
      </c>
      <c r="I7" t="s">
        <v>137</v>
      </c>
      <c r="J7" t="s">
        <v>244</v>
      </c>
      <c r="K7" t="s">
        <v>241</v>
      </c>
      <c r="L7" t="s">
        <v>242</v>
      </c>
      <c r="P7" t="s">
        <v>244</v>
      </c>
      <c r="Q7" t="s">
        <v>242</v>
      </c>
      <c r="R7" t="s">
        <v>137</v>
      </c>
      <c r="S7" t="s">
        <v>241</v>
      </c>
    </row>
    <row r="8" spans="1:19" x14ac:dyDescent="0.25">
      <c r="A8" t="s">
        <v>358</v>
      </c>
      <c r="B8">
        <v>5.4</v>
      </c>
      <c r="C8">
        <v>6.5</v>
      </c>
      <c r="D8">
        <v>3.2</v>
      </c>
      <c r="I8">
        <v>2.5</v>
      </c>
      <c r="J8">
        <v>6.1</v>
      </c>
      <c r="K8">
        <v>6.5</v>
      </c>
      <c r="L8">
        <v>3.2</v>
      </c>
      <c r="P8">
        <v>5.0999999999999996</v>
      </c>
      <c r="Q8">
        <v>3.6</v>
      </c>
      <c r="R8">
        <v>2.5</v>
      </c>
      <c r="S8">
        <v>6.3</v>
      </c>
    </row>
    <row r="9" spans="1:19" x14ac:dyDescent="0.25">
      <c r="A9" t="s">
        <v>399</v>
      </c>
      <c r="B9">
        <f>B10/B8</f>
        <v>135</v>
      </c>
      <c r="C9">
        <f>C10/C8</f>
        <v>130</v>
      </c>
      <c r="D9">
        <f>D10/D8</f>
        <v>260</v>
      </c>
      <c r="I9">
        <f>I10/I8</f>
        <v>150</v>
      </c>
      <c r="J9" s="145">
        <f>J10/J8</f>
        <v>135.08196721311475</v>
      </c>
      <c r="K9">
        <f>K10/K8</f>
        <v>130</v>
      </c>
      <c r="L9">
        <f>L10/L8</f>
        <v>260</v>
      </c>
      <c r="P9" s="145">
        <f>P10/P8</f>
        <v>135.09803921568627</v>
      </c>
      <c r="Q9">
        <f>Q10/Q8</f>
        <v>260</v>
      </c>
      <c r="R9">
        <f>R10/R8</f>
        <v>150</v>
      </c>
      <c r="S9">
        <f>S10/S8</f>
        <v>130</v>
      </c>
    </row>
    <row r="10" spans="1:19" x14ac:dyDescent="0.25">
      <c r="A10" t="s">
        <v>400</v>
      </c>
      <c r="B10">
        <v>729</v>
      </c>
      <c r="C10">
        <v>845</v>
      </c>
      <c r="D10">
        <v>832</v>
      </c>
      <c r="I10">
        <v>375</v>
      </c>
      <c r="J10">
        <v>824</v>
      </c>
      <c r="K10">
        <v>845</v>
      </c>
      <c r="L10">
        <v>832</v>
      </c>
      <c r="P10">
        <v>689</v>
      </c>
      <c r="Q10">
        <v>936</v>
      </c>
      <c r="R10">
        <v>375</v>
      </c>
      <c r="S10">
        <v>819</v>
      </c>
    </row>
    <row r="11" spans="1:19" x14ac:dyDescent="0.25">
      <c r="A11" s="137" t="s">
        <v>401</v>
      </c>
    </row>
    <row r="12" spans="1:19" x14ac:dyDescent="0.25">
      <c r="A12" t="s">
        <v>402</v>
      </c>
      <c r="B12">
        <v>274.23199999999997</v>
      </c>
      <c r="C12">
        <v>404.47699999999998</v>
      </c>
      <c r="D12">
        <v>309.99400000000003</v>
      </c>
      <c r="I12">
        <v>308.72449999999998</v>
      </c>
      <c r="J12">
        <v>324.32399999999996</v>
      </c>
      <c r="K12">
        <v>466.98899999999998</v>
      </c>
      <c r="L12">
        <v>310.2235</v>
      </c>
      <c r="P12">
        <v>274.23199999999997</v>
      </c>
      <c r="Q12">
        <v>505.12480000000005</v>
      </c>
      <c r="R12">
        <v>307.02449999999999</v>
      </c>
      <c r="S12">
        <v>155.9</v>
      </c>
    </row>
    <row r="13" spans="1:19" x14ac:dyDescent="0.25">
      <c r="A13" t="s">
        <v>403</v>
      </c>
      <c r="B13">
        <f>B10-B12</f>
        <v>454.76800000000003</v>
      </c>
      <c r="C13">
        <f>C10-C12</f>
        <v>440.52300000000002</v>
      </c>
      <c r="D13">
        <f>D10-D12</f>
        <v>522.00599999999997</v>
      </c>
      <c r="I13">
        <f>I10-I12</f>
        <v>66.275500000000022</v>
      </c>
      <c r="J13">
        <f>J10-J12</f>
        <v>499.67600000000004</v>
      </c>
      <c r="K13">
        <f>K10-K12</f>
        <v>378.01100000000002</v>
      </c>
      <c r="L13">
        <f>L10-L12</f>
        <v>521.77649999999994</v>
      </c>
      <c r="P13">
        <f>P10-P12</f>
        <v>414.76800000000003</v>
      </c>
      <c r="Q13">
        <f>Q10-Q12</f>
        <v>430.87519999999995</v>
      </c>
      <c r="R13">
        <f>R10-R12</f>
        <v>67.975500000000011</v>
      </c>
      <c r="S13">
        <f>S10-S12</f>
        <v>663.1</v>
      </c>
    </row>
    <row r="15" spans="1:19" x14ac:dyDescent="0.25">
      <c r="A15" t="s">
        <v>404</v>
      </c>
      <c r="B15" s="145">
        <f>(B13+C13+D13)/3</f>
        <v>472.43233333333336</v>
      </c>
      <c r="I15" s="145">
        <f>(I13+J13+K13+L13)/4</f>
        <v>366.43475000000001</v>
      </c>
      <c r="P15" s="145">
        <f>(P13+Q13+R13+S13)/4</f>
        <v>394.17967499999997</v>
      </c>
    </row>
    <row r="16" spans="1:19" x14ac:dyDescent="0.25">
      <c r="B16" s="55"/>
      <c r="I16" s="55"/>
      <c r="P16" s="55"/>
    </row>
    <row r="17" spans="1:19" x14ac:dyDescent="0.25">
      <c r="A17" t="s">
        <v>128</v>
      </c>
      <c r="B17" s="55">
        <v>104</v>
      </c>
      <c r="C17">
        <v>10.4</v>
      </c>
      <c r="D17">
        <v>68.2</v>
      </c>
      <c r="I17" s="55">
        <v>60</v>
      </c>
      <c r="J17">
        <v>104</v>
      </c>
      <c r="K17">
        <v>10.4</v>
      </c>
      <c r="L17">
        <v>68.2</v>
      </c>
      <c r="P17" s="55">
        <v>104</v>
      </c>
      <c r="Q17">
        <v>68.2</v>
      </c>
      <c r="R17">
        <v>60</v>
      </c>
      <c r="S17">
        <v>10.4</v>
      </c>
    </row>
    <row r="18" spans="1:19" x14ac:dyDescent="0.25">
      <c r="A18" t="s">
        <v>129</v>
      </c>
      <c r="B18" s="55">
        <v>98.831999999999994</v>
      </c>
      <c r="C18">
        <v>310.577</v>
      </c>
      <c r="D18">
        <v>102.194</v>
      </c>
      <c r="I18" s="55">
        <v>211.2</v>
      </c>
      <c r="J18">
        <v>70.583999999999989</v>
      </c>
      <c r="K18">
        <v>373.089</v>
      </c>
      <c r="L18">
        <v>102.4235</v>
      </c>
      <c r="P18" s="55">
        <v>98.831999999999994</v>
      </c>
      <c r="Q18">
        <v>297.32480000000004</v>
      </c>
      <c r="R18">
        <v>196</v>
      </c>
      <c r="S18">
        <v>62</v>
      </c>
    </row>
    <row r="19" spans="1:19" x14ac:dyDescent="0.25">
      <c r="A19" t="s">
        <v>130</v>
      </c>
      <c r="B19" s="55">
        <v>71.399999999999991</v>
      </c>
      <c r="C19">
        <v>83.5</v>
      </c>
      <c r="D19">
        <v>69.599999999999994</v>
      </c>
      <c r="I19" s="55">
        <v>37.524500000000003</v>
      </c>
      <c r="J19">
        <v>149.73999999999998</v>
      </c>
      <c r="K19">
        <v>83.5</v>
      </c>
      <c r="L19">
        <v>69.599999999999994</v>
      </c>
      <c r="P19" s="55">
        <v>71.399999999999991</v>
      </c>
      <c r="Q19">
        <v>69.599999999999994</v>
      </c>
      <c r="R19">
        <v>51.024500000000003</v>
      </c>
      <c r="S19">
        <v>83.5</v>
      </c>
    </row>
    <row r="20" spans="1:19" x14ac:dyDescent="0.25">
      <c r="A20" t="s">
        <v>131</v>
      </c>
      <c r="B20" s="123" t="s">
        <v>246</v>
      </c>
      <c r="D20">
        <v>70</v>
      </c>
      <c r="I20" s="55"/>
      <c r="L20">
        <v>70</v>
      </c>
      <c r="P20" s="55"/>
      <c r="Q20">
        <v>70</v>
      </c>
    </row>
    <row r="21" spans="1:19" x14ac:dyDescent="0.25">
      <c r="A21" t="s">
        <v>132</v>
      </c>
      <c r="B21" s="123" t="s">
        <v>246</v>
      </c>
      <c r="I21" s="55">
        <v>0</v>
      </c>
      <c r="P21" s="55"/>
      <c r="R21">
        <v>0</v>
      </c>
    </row>
    <row r="22" spans="1:19" x14ac:dyDescent="0.25">
      <c r="A22" t="s">
        <v>133</v>
      </c>
      <c r="B22" s="123" t="s">
        <v>246</v>
      </c>
      <c r="I22" s="55">
        <v>0</v>
      </c>
      <c r="P22" s="55"/>
      <c r="R22">
        <v>0</v>
      </c>
    </row>
    <row r="23" spans="1:19" x14ac:dyDescent="0.25">
      <c r="A23" t="s">
        <v>134</v>
      </c>
      <c r="B23" s="123" t="s">
        <v>246</v>
      </c>
      <c r="I23" s="55">
        <v>0</v>
      </c>
      <c r="P23" s="55"/>
      <c r="R23">
        <v>0</v>
      </c>
    </row>
    <row r="24" spans="1:19" x14ac:dyDescent="0.25">
      <c r="A24" t="s">
        <v>135</v>
      </c>
      <c r="B24" s="55">
        <v>274.23199999999997</v>
      </c>
      <c r="C24">
        <v>404.47699999999998</v>
      </c>
      <c r="D24">
        <v>309.99399999999997</v>
      </c>
      <c r="I24" s="55">
        <v>308.72449999999998</v>
      </c>
      <c r="J24">
        <v>324.32399999999996</v>
      </c>
      <c r="P24" s="55">
        <v>274.23199999999997</v>
      </c>
      <c r="Q24">
        <v>505.12480000000005</v>
      </c>
      <c r="R24">
        <v>307.02449999999999</v>
      </c>
      <c r="S24">
        <v>155.9</v>
      </c>
    </row>
    <row r="25" spans="1:19" x14ac:dyDescent="0.25">
      <c r="A25" t="s">
        <v>136</v>
      </c>
      <c r="B25" s="55">
        <v>110</v>
      </c>
      <c r="C25">
        <v>110</v>
      </c>
      <c r="D25">
        <v>110</v>
      </c>
      <c r="I25" s="55">
        <v>110</v>
      </c>
      <c r="J25">
        <v>110</v>
      </c>
      <c r="K25">
        <v>110</v>
      </c>
      <c r="L25">
        <v>110</v>
      </c>
      <c r="P25" s="55">
        <v>110</v>
      </c>
      <c r="Q25">
        <v>110</v>
      </c>
      <c r="R25">
        <v>110</v>
      </c>
      <c r="S25">
        <v>110</v>
      </c>
    </row>
    <row r="27" spans="1:19" x14ac:dyDescent="0.25">
      <c r="A27" t="s">
        <v>405</v>
      </c>
      <c r="I27" s="145">
        <f>I8*B37-I12</f>
        <v>389.52550000000002</v>
      </c>
      <c r="P27" s="145"/>
      <c r="Q27" s="145"/>
      <c r="R27" s="145">
        <f>R8*B37-R12</f>
        <v>391.22550000000001</v>
      </c>
    </row>
    <row r="28" spans="1:19" x14ac:dyDescent="0.25">
      <c r="A28" t="s">
        <v>406</v>
      </c>
      <c r="I28" s="145">
        <f>(I27+J13+K13+L13)/4</f>
        <v>447.24725000000001</v>
      </c>
      <c r="P28" s="145">
        <f>(P13+Q13+R27+S13)/4</f>
        <v>474.99217499999997</v>
      </c>
      <c r="Q28" s="145"/>
      <c r="R28" s="145"/>
    </row>
    <row r="31" spans="1:19" x14ac:dyDescent="0.25">
      <c r="A31" t="s">
        <v>407</v>
      </c>
    </row>
    <row r="32" spans="1:19" x14ac:dyDescent="0.25">
      <c r="A32" t="s">
        <v>408</v>
      </c>
    </row>
    <row r="33" spans="1:2" x14ac:dyDescent="0.25">
      <c r="A33" t="s">
        <v>247</v>
      </c>
      <c r="B33">
        <v>419.4</v>
      </c>
    </row>
    <row r="34" spans="1:2" x14ac:dyDescent="0.25">
      <c r="A34" t="s">
        <v>47</v>
      </c>
      <c r="B34">
        <v>154.30000000000001</v>
      </c>
    </row>
    <row r="36" spans="1:2" x14ac:dyDescent="0.25">
      <c r="A36" t="s">
        <v>409</v>
      </c>
    </row>
    <row r="37" spans="1:2" x14ac:dyDescent="0.25">
      <c r="A37" t="s">
        <v>248</v>
      </c>
      <c r="B37">
        <v>279.3</v>
      </c>
    </row>
    <row r="40" spans="1:2" x14ac:dyDescent="0.25">
      <c r="A40" t="s">
        <v>410</v>
      </c>
    </row>
    <row r="41" spans="1:2" x14ac:dyDescent="0.25">
      <c r="A41" t="s">
        <v>411</v>
      </c>
    </row>
    <row r="42" spans="1:2" x14ac:dyDescent="0.25">
      <c r="A42" t="s">
        <v>412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B24" sqref="B24"/>
    </sheetView>
  </sheetViews>
  <sheetFormatPr baseColWidth="10" defaultColWidth="11.42578125" defaultRowHeight="15" x14ac:dyDescent="0.25"/>
  <cols>
    <col min="1" max="1" width="23" bestFit="1" customWidth="1"/>
    <col min="2" max="2" width="13.28515625" bestFit="1" customWidth="1"/>
    <col min="8" max="8" width="15" bestFit="1" customWidth="1"/>
    <col min="15" max="15" width="15" bestFit="1" customWidth="1"/>
  </cols>
  <sheetData>
    <row r="1" spans="1:19" x14ac:dyDescent="0.25">
      <c r="B1" t="s">
        <v>236</v>
      </c>
      <c r="C1" t="s">
        <v>237</v>
      </c>
      <c r="D1" t="s">
        <v>238</v>
      </c>
      <c r="E1" t="s">
        <v>239</v>
      </c>
    </row>
    <row r="2" spans="1:19" x14ac:dyDescent="0.25">
      <c r="A2" t="s">
        <v>240</v>
      </c>
      <c r="B2" t="s">
        <v>244</v>
      </c>
      <c r="C2" t="s">
        <v>241</v>
      </c>
      <c r="D2" t="s">
        <v>242</v>
      </c>
    </row>
    <row r="3" spans="1:19" x14ac:dyDescent="0.25">
      <c r="A3" t="s">
        <v>243</v>
      </c>
      <c r="B3" t="s">
        <v>137</v>
      </c>
      <c r="C3" t="s">
        <v>244</v>
      </c>
      <c r="D3" t="s">
        <v>241</v>
      </c>
      <c r="E3" t="s">
        <v>242</v>
      </c>
    </row>
    <row r="4" spans="1:19" x14ac:dyDescent="0.25">
      <c r="A4" t="s">
        <v>245</v>
      </c>
      <c r="B4" t="s">
        <v>244</v>
      </c>
      <c r="C4" t="s">
        <v>242</v>
      </c>
      <c r="D4" t="s">
        <v>137</v>
      </c>
      <c r="E4" t="s">
        <v>241</v>
      </c>
    </row>
    <row r="7" spans="1:19" x14ac:dyDescent="0.25">
      <c r="A7" s="131"/>
      <c r="B7" s="135" t="s">
        <v>244</v>
      </c>
      <c r="C7" s="135" t="s">
        <v>241</v>
      </c>
      <c r="D7" s="135" t="s">
        <v>242</v>
      </c>
      <c r="E7" s="135"/>
      <c r="F7" s="135"/>
      <c r="G7" s="135"/>
      <c r="H7" s="132"/>
      <c r="I7" s="135" t="s">
        <v>137</v>
      </c>
      <c r="J7" s="135" t="s">
        <v>244</v>
      </c>
      <c r="K7" s="135" t="s">
        <v>241</v>
      </c>
      <c r="L7" s="135" t="s">
        <v>242</v>
      </c>
      <c r="M7" s="135"/>
      <c r="N7" s="135"/>
      <c r="O7" s="132"/>
      <c r="P7" s="135" t="s">
        <v>244</v>
      </c>
      <c r="Q7" s="135" t="s">
        <v>242</v>
      </c>
      <c r="R7" s="135" t="s">
        <v>137</v>
      </c>
      <c r="S7" s="135" t="s">
        <v>241</v>
      </c>
    </row>
    <row r="8" spans="1:19" x14ac:dyDescent="0.25">
      <c r="A8" s="133" t="s">
        <v>358</v>
      </c>
      <c r="B8" s="134">
        <v>5.4</v>
      </c>
      <c r="C8" s="134">
        <v>6.5</v>
      </c>
      <c r="D8" s="134">
        <v>3.2</v>
      </c>
      <c r="E8" s="134"/>
      <c r="F8" s="134"/>
      <c r="G8" s="134"/>
      <c r="H8" s="133" t="s">
        <v>358</v>
      </c>
      <c r="I8" s="134">
        <v>2.5</v>
      </c>
      <c r="J8" s="134">
        <v>6.1</v>
      </c>
      <c r="K8" s="134">
        <v>6.5</v>
      </c>
      <c r="L8" s="134">
        <v>3.2</v>
      </c>
      <c r="M8" s="134"/>
      <c r="N8" s="134"/>
      <c r="O8" s="133" t="s">
        <v>358</v>
      </c>
      <c r="P8" s="134">
        <v>5.0999999999999996</v>
      </c>
      <c r="Q8" s="134">
        <v>3.6</v>
      </c>
      <c r="R8" s="134">
        <v>2.5</v>
      </c>
      <c r="S8" s="134">
        <v>6.3</v>
      </c>
    </row>
    <row r="9" spans="1:19" x14ac:dyDescent="0.25">
      <c r="A9" s="132" t="s">
        <v>278</v>
      </c>
      <c r="H9" s="132" t="s">
        <v>278</v>
      </c>
      <c r="O9" s="132" t="s">
        <v>278</v>
      </c>
    </row>
    <row r="10" spans="1:19" x14ac:dyDescent="0.25">
      <c r="A10" s="131" t="s">
        <v>71</v>
      </c>
      <c r="B10" t="s">
        <v>249</v>
      </c>
      <c r="C10" t="s">
        <v>249</v>
      </c>
      <c r="D10" t="s">
        <v>78</v>
      </c>
      <c r="H10" s="131" t="s">
        <v>71</v>
      </c>
      <c r="I10" t="s">
        <v>141</v>
      </c>
      <c r="J10" t="s">
        <v>249</v>
      </c>
      <c r="K10" t="s">
        <v>249</v>
      </c>
      <c r="L10" t="s">
        <v>78</v>
      </c>
      <c r="O10" s="131" t="s">
        <v>71</v>
      </c>
      <c r="P10" t="s">
        <v>249</v>
      </c>
      <c r="Q10" t="s">
        <v>78</v>
      </c>
      <c r="S10" t="s">
        <v>249</v>
      </c>
    </row>
    <row r="11" spans="1:19" x14ac:dyDescent="0.25">
      <c r="A11" s="131" t="s">
        <v>250</v>
      </c>
      <c r="B11" s="122">
        <v>0.35</v>
      </c>
      <c r="C11" s="122">
        <v>0.35</v>
      </c>
      <c r="D11" s="122">
        <v>0.46</v>
      </c>
      <c r="E11" s="122"/>
      <c r="H11" s="131" t="s">
        <v>250</v>
      </c>
      <c r="I11" s="122">
        <v>0.11</v>
      </c>
      <c r="J11" s="122">
        <v>0.35</v>
      </c>
      <c r="K11" s="122">
        <v>0.35</v>
      </c>
      <c r="L11" s="122">
        <v>0.46</v>
      </c>
      <c r="O11" s="131" t="s">
        <v>250</v>
      </c>
      <c r="P11" s="122">
        <v>0.35</v>
      </c>
      <c r="Q11" s="122">
        <v>0.46</v>
      </c>
      <c r="R11" s="122"/>
      <c r="S11" s="122">
        <v>0.35</v>
      </c>
    </row>
    <row r="12" spans="1:19" x14ac:dyDescent="0.25">
      <c r="A12" s="131" t="s">
        <v>413</v>
      </c>
      <c r="B12">
        <v>411.8</v>
      </c>
      <c r="C12">
        <v>470.6</v>
      </c>
      <c r="D12">
        <v>260.89999999999998</v>
      </c>
      <c r="H12" s="131" t="s">
        <v>413</v>
      </c>
      <c r="I12">
        <v>200</v>
      </c>
      <c r="J12">
        <v>294.10000000000002</v>
      </c>
      <c r="K12">
        <v>470.6</v>
      </c>
      <c r="L12">
        <v>260.89999999999998</v>
      </c>
      <c r="O12" s="131" t="s">
        <v>413</v>
      </c>
      <c r="P12">
        <v>411.8</v>
      </c>
      <c r="Q12">
        <v>260.89999999999998</v>
      </c>
      <c r="S12">
        <v>411.8</v>
      </c>
    </row>
    <row r="13" spans="1:19" x14ac:dyDescent="0.25">
      <c r="A13" s="131" t="s">
        <v>414</v>
      </c>
      <c r="B13">
        <f>B11*B12</f>
        <v>144.13</v>
      </c>
      <c r="C13">
        <f>C11*C12</f>
        <v>164.71</v>
      </c>
      <c r="D13">
        <f>D11*D12</f>
        <v>120.014</v>
      </c>
      <c r="H13" s="131" t="s">
        <v>414</v>
      </c>
      <c r="I13">
        <f>I11*I12</f>
        <v>22</v>
      </c>
      <c r="J13">
        <f>J11*J12</f>
        <v>102.935</v>
      </c>
      <c r="K13">
        <f>K11*K12</f>
        <v>164.71</v>
      </c>
      <c r="L13">
        <f>L11*L12</f>
        <v>120.014</v>
      </c>
      <c r="O13" s="131" t="s">
        <v>414</v>
      </c>
      <c r="P13">
        <f>P11*P12</f>
        <v>144.13</v>
      </c>
      <c r="Q13">
        <f>Q11*Q12</f>
        <v>120.014</v>
      </c>
      <c r="S13">
        <f>S11*S12</f>
        <v>144.13</v>
      </c>
    </row>
    <row r="14" spans="1:19" x14ac:dyDescent="0.25">
      <c r="A14" s="131"/>
      <c r="H14" s="131"/>
      <c r="O14" s="131"/>
    </row>
    <row r="15" spans="1:19" ht="18" x14ac:dyDescent="0.35">
      <c r="A15" s="131" t="s">
        <v>71</v>
      </c>
      <c r="D15" t="s">
        <v>251</v>
      </c>
      <c r="H15" s="131" t="s">
        <v>71</v>
      </c>
      <c r="L15" t="s">
        <v>251</v>
      </c>
      <c r="O15" s="131" t="s">
        <v>71</v>
      </c>
      <c r="Q15" t="s">
        <v>251</v>
      </c>
    </row>
    <row r="16" spans="1:19" x14ac:dyDescent="0.25">
      <c r="A16" s="131" t="s">
        <v>250</v>
      </c>
      <c r="H16" s="131" t="s">
        <v>250</v>
      </c>
      <c r="O16" s="131" t="s">
        <v>250</v>
      </c>
    </row>
    <row r="17" spans="1:19" x14ac:dyDescent="0.25">
      <c r="A17" s="131" t="s">
        <v>413</v>
      </c>
      <c r="D17">
        <v>0.16</v>
      </c>
      <c r="H17" s="131" t="s">
        <v>413</v>
      </c>
      <c r="L17">
        <v>0.16</v>
      </c>
      <c r="O17" s="131" t="s">
        <v>413</v>
      </c>
      <c r="Q17">
        <v>0.16</v>
      </c>
    </row>
    <row r="18" spans="1:19" x14ac:dyDescent="0.25">
      <c r="A18" s="131" t="s">
        <v>414</v>
      </c>
      <c r="D18">
        <v>0.16</v>
      </c>
      <c r="H18" s="131" t="s">
        <v>414</v>
      </c>
      <c r="L18">
        <v>0.16</v>
      </c>
      <c r="O18" s="131" t="s">
        <v>414</v>
      </c>
      <c r="Q18">
        <v>0.16</v>
      </c>
    </row>
    <row r="19" spans="1:19" x14ac:dyDescent="0.25">
      <c r="A19" s="131"/>
      <c r="H19" s="131"/>
      <c r="O19" s="131"/>
    </row>
    <row r="20" spans="1:19" x14ac:dyDescent="0.25">
      <c r="A20" s="131"/>
      <c r="H20" s="131"/>
      <c r="O20" s="131"/>
    </row>
    <row r="21" spans="1:19" x14ac:dyDescent="0.25">
      <c r="A21" s="131" t="s">
        <v>415</v>
      </c>
      <c r="B21">
        <f>B13+B18</f>
        <v>144.13</v>
      </c>
      <c r="C21">
        <f>C13+C18</f>
        <v>164.71</v>
      </c>
      <c r="D21">
        <f>D13+D18</f>
        <v>120.17399999999999</v>
      </c>
      <c r="H21" s="131" t="s">
        <v>415</v>
      </c>
      <c r="I21">
        <f>I13+I18</f>
        <v>22</v>
      </c>
      <c r="J21">
        <f>J13+J18</f>
        <v>102.935</v>
      </c>
      <c r="K21">
        <f>K13+K18</f>
        <v>164.71</v>
      </c>
      <c r="L21">
        <f>L13+L18</f>
        <v>120.17399999999999</v>
      </c>
      <c r="O21" s="131" t="s">
        <v>415</v>
      </c>
      <c r="P21">
        <f>P13+P18</f>
        <v>144.13</v>
      </c>
      <c r="Q21">
        <f>Q13+Q18</f>
        <v>120.17399999999999</v>
      </c>
      <c r="R21">
        <f>R13+R18</f>
        <v>0</v>
      </c>
      <c r="S21">
        <f>S13+S18</f>
        <v>144.13</v>
      </c>
    </row>
    <row r="22" spans="1:19" x14ac:dyDescent="0.25">
      <c r="A22" s="131"/>
      <c r="H22" s="131"/>
      <c r="O22" s="131"/>
    </row>
    <row r="23" spans="1:19" x14ac:dyDescent="0.25">
      <c r="A23" s="131" t="s">
        <v>416</v>
      </c>
      <c r="B23" s="145">
        <f>(B21+C21+D21)/3</f>
        <v>143.00466666666668</v>
      </c>
      <c r="H23" s="131" t="s">
        <v>416</v>
      </c>
      <c r="I23" s="145">
        <f>(I21+J21+K21+L21)/4</f>
        <v>102.45474999999999</v>
      </c>
      <c r="J23" s="145"/>
      <c r="K23" s="145"/>
      <c r="L23" s="145"/>
      <c r="M23" s="145"/>
      <c r="N23" s="145"/>
      <c r="O23" s="131" t="s">
        <v>416</v>
      </c>
      <c r="P23" s="145">
        <f>(P21+Q21+R21+S21)/4</f>
        <v>102.10849999999999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Output</vt:lpstr>
      <vt:lpstr>Data source</vt:lpstr>
      <vt:lpstr>Site characteristics</vt:lpstr>
      <vt:lpstr>Without legumes</vt:lpstr>
      <vt:lpstr>With legumes option 1 </vt:lpstr>
      <vt:lpstr>With legumes option 2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2019-11-18T09:53:55Z</dcterms:created>
  <dcterms:modified xsi:type="dcterms:W3CDTF">2020-12-02T08:31:23Z</dcterms:modified>
</cp:coreProperties>
</file>