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/>
  </bookViews>
  <sheets>
    <sheet name="Output" sheetId="23" r:id="rId1"/>
    <sheet name="Data source" sheetId="18" r:id="rId2"/>
    <sheet name="Site characteristics" sheetId="1" r:id="rId3"/>
    <sheet name="Without legumes " sheetId="17" r:id="rId4"/>
    <sheet name="With legumes" sheetId="16" r:id="rId5"/>
    <sheet name="Data for yield stability" sheetId="12" r:id="rId6"/>
    <sheet name="GM" sheetId="19" r:id="rId7"/>
    <sheet name="N fertilizer" sheetId="20" r:id="rId8"/>
    <sheet name="Protein &amp; Energy Output" sheetId="21" r:id="rId9"/>
    <sheet name="Crop Diversity" sheetId="22" r:id="rId10"/>
    <sheet name="NO3" sheetId="27" r:id="rId11"/>
    <sheet name="N2O calculations" sheetId="24" r:id="rId12"/>
    <sheet name="N2O default values" sheetId="25" r:id="rId13"/>
    <sheet name="Mapping crops" sheetId="26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12" l="1"/>
  <c r="G17" i="12"/>
  <c r="C17" i="12"/>
  <c r="I15" i="19"/>
  <c r="B15" i="19"/>
  <c r="I28" i="20"/>
  <c r="B28" i="20"/>
  <c r="F19" i="21"/>
  <c r="B19" i="21"/>
  <c r="B14" i="21"/>
  <c r="F14" i="21"/>
  <c r="K5" i="27" l="1"/>
  <c r="K10" i="27"/>
  <c r="J3" i="23" l="1"/>
  <c r="J2" i="23"/>
  <c r="K28" i="24" l="1"/>
  <c r="J28" i="24"/>
  <c r="I28" i="24"/>
  <c r="C28" i="24"/>
  <c r="B28" i="24"/>
  <c r="P2" i="23"/>
  <c r="F10" i="21"/>
  <c r="F17" i="21"/>
  <c r="P3" i="23"/>
  <c r="G10" i="21"/>
  <c r="G17" i="21"/>
  <c r="B10" i="21"/>
  <c r="B17" i="21"/>
  <c r="C10" i="21"/>
  <c r="C17" i="21"/>
  <c r="K11" i="24"/>
  <c r="J11" i="24"/>
  <c r="I11" i="24"/>
  <c r="C11" i="24"/>
  <c r="B11" i="24"/>
  <c r="K10" i="24"/>
  <c r="J10" i="24"/>
  <c r="I10" i="24"/>
  <c r="C10" i="24"/>
  <c r="K9" i="24"/>
  <c r="J9" i="24"/>
  <c r="I9" i="24"/>
  <c r="C9" i="24"/>
  <c r="C26" i="24"/>
  <c r="K7" i="24"/>
  <c r="K24" i="24"/>
  <c r="K8" i="24"/>
  <c r="K14" i="24"/>
  <c r="K15" i="24"/>
  <c r="K17" i="24"/>
  <c r="J7" i="24"/>
  <c r="J24" i="24"/>
  <c r="I7" i="24"/>
  <c r="I24" i="24"/>
  <c r="I8" i="24"/>
  <c r="I14" i="24"/>
  <c r="I15" i="24"/>
  <c r="I17" i="24"/>
  <c r="C7" i="24"/>
  <c r="C24" i="24"/>
  <c r="C8" i="24"/>
  <c r="C16" i="24"/>
  <c r="C18" i="24"/>
  <c r="C14" i="24"/>
  <c r="C15" i="24"/>
  <c r="C17" i="24"/>
  <c r="B7" i="24"/>
  <c r="B24" i="24"/>
  <c r="D4" i="24"/>
  <c r="C4" i="24"/>
  <c r="B4" i="24"/>
  <c r="A4" i="24"/>
  <c r="D3" i="24"/>
  <c r="C3" i="24"/>
  <c r="B3" i="24"/>
  <c r="A3" i="24"/>
  <c r="D2" i="24"/>
  <c r="C2" i="24"/>
  <c r="B2" i="24"/>
  <c r="A2" i="24"/>
  <c r="D1" i="24"/>
  <c r="C1" i="24"/>
  <c r="B1" i="24"/>
  <c r="A1" i="24"/>
  <c r="U22" i="25"/>
  <c r="U21" i="25"/>
  <c r="U20" i="25"/>
  <c r="U19" i="25"/>
  <c r="U18" i="25"/>
  <c r="Q18" i="25"/>
  <c r="U17" i="25"/>
  <c r="Q17" i="25"/>
  <c r="U16" i="25"/>
  <c r="R16" i="25"/>
  <c r="P16" i="25"/>
  <c r="U15" i="25"/>
  <c r="U14" i="25"/>
  <c r="U13" i="25"/>
  <c r="U12" i="25"/>
  <c r="R12" i="25"/>
  <c r="U11" i="25"/>
  <c r="R11" i="25"/>
  <c r="P11" i="25"/>
  <c r="U10" i="25"/>
  <c r="P10" i="25"/>
  <c r="U9" i="25"/>
  <c r="R9" i="25"/>
  <c r="U8" i="25"/>
  <c r="U7" i="25"/>
  <c r="U6" i="25"/>
  <c r="U5" i="25"/>
  <c r="U4" i="25"/>
  <c r="E4" i="25"/>
  <c r="U3" i="25"/>
  <c r="E3" i="25"/>
  <c r="U2" i="25"/>
  <c r="G2" i="25"/>
  <c r="E2" i="25"/>
  <c r="K25" i="24"/>
  <c r="K27" i="24"/>
  <c r="J27" i="24"/>
  <c r="I27" i="24"/>
  <c r="C27" i="24"/>
  <c r="B27" i="24"/>
  <c r="J8" i="24"/>
  <c r="J16" i="24"/>
  <c r="J18" i="24"/>
  <c r="J14" i="24"/>
  <c r="J15" i="24"/>
  <c r="J17" i="24"/>
  <c r="J19" i="24"/>
  <c r="I3" i="23"/>
  <c r="I2" i="23"/>
  <c r="D21" i="22"/>
  <c r="E21" i="22"/>
  <c r="E22" i="22"/>
  <c r="Q3" i="23"/>
  <c r="B21" i="22"/>
  <c r="D19" i="22"/>
  <c r="E19" i="22"/>
  <c r="B19" i="22"/>
  <c r="E14" i="22"/>
  <c r="D13" i="22"/>
  <c r="E13" i="22"/>
  <c r="E16" i="22"/>
  <c r="Q2" i="23"/>
  <c r="F7" i="22"/>
  <c r="H10" i="21"/>
  <c r="H17" i="21"/>
  <c r="H12" i="21"/>
  <c r="G12" i="21"/>
  <c r="F12" i="21"/>
  <c r="O3" i="23"/>
  <c r="C12" i="21"/>
  <c r="B12" i="21"/>
  <c r="O2" i="23"/>
  <c r="J18" i="20"/>
  <c r="I18" i="20"/>
  <c r="C18" i="20"/>
  <c r="B18" i="20"/>
  <c r="B10" i="24"/>
  <c r="J13" i="20"/>
  <c r="J25" i="24"/>
  <c r="I13" i="20"/>
  <c r="I26" i="20"/>
  <c r="K3" i="23"/>
  <c r="C13" i="20"/>
  <c r="C25" i="24"/>
  <c r="B13" i="20"/>
  <c r="B9" i="24"/>
  <c r="I25" i="19"/>
  <c r="B25" i="19"/>
  <c r="B12" i="19"/>
  <c r="K10" i="19"/>
  <c r="K13" i="19"/>
  <c r="J10" i="19"/>
  <c r="J13" i="19"/>
  <c r="I10" i="19"/>
  <c r="I13" i="19"/>
  <c r="E3" i="23"/>
  <c r="H3" i="23" s="1"/>
  <c r="C10" i="19"/>
  <c r="C13" i="19"/>
  <c r="B10" i="19"/>
  <c r="B13" i="19"/>
  <c r="E2" i="23"/>
  <c r="H24" i="12"/>
  <c r="N3" i="23"/>
  <c r="H23" i="12"/>
  <c r="N2" i="23"/>
  <c r="J26" i="20"/>
  <c r="L54" i="17"/>
  <c r="E54" i="17"/>
  <c r="R54" i="16"/>
  <c r="L54" i="16"/>
  <c r="E54" i="16"/>
  <c r="I16" i="24"/>
  <c r="I18" i="24"/>
  <c r="I19" i="24"/>
  <c r="C19" i="24"/>
  <c r="C31" i="24"/>
  <c r="I25" i="24"/>
  <c r="C26" i="20"/>
  <c r="K16" i="24"/>
  <c r="K18" i="24"/>
  <c r="K19" i="24"/>
  <c r="B26" i="20"/>
  <c r="K2" i="23"/>
  <c r="B8" i="24"/>
  <c r="B25" i="24"/>
  <c r="J26" i="24"/>
  <c r="J31" i="24"/>
  <c r="K26" i="24"/>
  <c r="B26" i="24"/>
  <c r="I26" i="24"/>
  <c r="K31" i="24"/>
  <c r="B14" i="24"/>
  <c r="B15" i="24"/>
  <c r="B17" i="24"/>
  <c r="I31" i="24"/>
  <c r="H31" i="24"/>
  <c r="M3" i="23"/>
  <c r="B16" i="24"/>
  <c r="B18" i="24"/>
  <c r="B19" i="24"/>
  <c r="B31" i="24"/>
  <c r="A31" i="24"/>
  <c r="M2" i="23"/>
  <c r="H2" i="23" l="1"/>
  <c r="G3" i="23"/>
  <c r="G2" i="23"/>
</calcChain>
</file>

<file path=xl/comments1.xml><?xml version="1.0" encoding="utf-8"?>
<comments xmlns="http://schemas.openxmlformats.org/spreadsheetml/2006/main">
  <authors>
    <author>notz</author>
  </authors>
  <commentList>
    <comment ref="F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Only available for compared cropping systems that include legumes other than soybean, as a calculator to detect the actual feed value is used, that is based on soybean and wheat prices.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</commentList>
</comments>
</file>

<file path=xl/sharedStrings.xml><?xml version="1.0" encoding="utf-8"?>
<sst xmlns="http://schemas.openxmlformats.org/spreadsheetml/2006/main" count="1195" uniqueCount="404">
  <si>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</si>
  <si>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</si>
  <si>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</si>
  <si>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</si>
  <si>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</si>
  <si>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</si>
  <si>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</si>
  <si>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</si>
  <si>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</si>
  <si>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</si>
  <si>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</si>
  <si>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</si>
  <si>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</si>
  <si>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</si>
  <si>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</si>
  <si>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</si>
  <si>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</si>
  <si>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</si>
  <si>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Compost</t>
  </si>
  <si>
    <t>Manure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</si>
  <si>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</si>
  <si>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</si>
  <si>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</si>
  <si>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</si>
  <si>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</si>
  <si>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</si>
  <si>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</si>
  <si>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</si>
  <si>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</si>
  <si>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</si>
  <si>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</si>
  <si>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</si>
  <si>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</si>
  <si>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</si>
  <si>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</si>
  <si>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</si>
  <si>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</si>
  <si>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</si>
  <si>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</si>
  <si>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</si>
  <si>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</si>
  <si>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</si>
  <si>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</si>
  <si>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</si>
  <si>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</si>
  <si>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</si>
  <si>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</si>
  <si>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</si>
  <si>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</si>
  <si>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</si>
  <si>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</si>
  <si>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</si>
  <si>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</si>
  <si>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</si>
  <si>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</si>
  <si>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</si>
  <si>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Please indicate the name of the region (e.g. Brandenburg) and the code according to the specification of the territorial statistical units of the second level (NUTS 2*) (e.g. DE40 ).</t>
  </si>
  <si>
    <t>Region</t>
  </si>
  <si>
    <t>Site</t>
  </si>
  <si>
    <t>Please indicate the local name of the site within the region e.g. name of the soil type, class…</t>
  </si>
  <si>
    <t>Please describe the typical soil type of your region (e.g. sandy loam).</t>
  </si>
  <si>
    <t xml:space="preserve">If you do not have the following information we will help you and might use default values. </t>
  </si>
  <si>
    <t>Please indicate the average AZ (e.g. 49)</t>
  </si>
  <si>
    <t xml:space="preserve">Please indicate the carbon to nitrogen ratio of the soil organic matter (e.g. 11). 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</si>
  <si>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</si>
  <si>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</si>
  <si>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</si>
  <si>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</si>
  <si>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</si>
  <si>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</si>
  <si>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</si>
  <si>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</si>
  <si>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Please indicate the years of cultivation (e.g. 2015-2018).</t>
  </si>
  <si>
    <t>Please indicate the average field size [ha].</t>
  </si>
  <si>
    <t>Please indicate the average C_org [% C in DM] (e.g. 0,9%)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</si>
  <si>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</si>
  <si>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Please indicate the depth of the top soil layer [cm] (e.g. 30 cm).</t>
  </si>
  <si>
    <t>Please indicate the annual mineralisation rate [%] (e.g. 1,7%).</t>
  </si>
  <si>
    <t xml:space="preserve">Please indicate the water holding capacity in the root zone [mm] (e.g. 400mm). </t>
  </si>
  <si>
    <t xml:space="preserve">Please indicate the annual precipitation [mm] (e.g. 510mm). </t>
  </si>
  <si>
    <t xml:space="preserve">Please indicate the precipitation in the winter half, from October to March [mm] (e.g.220mm). </t>
  </si>
  <si>
    <t xml:space="preserve">Amount [t/ha] </t>
  </si>
  <si>
    <t xml:space="preserve">Yield [t/ha] </t>
  </si>
  <si>
    <t>Number of year</t>
  </si>
  <si>
    <t>Crop [name of crop]:</t>
  </si>
  <si>
    <t>Organic fertilizers</t>
  </si>
  <si>
    <t>Composition</t>
  </si>
  <si>
    <t>Mineral fertilizers</t>
  </si>
  <si>
    <t>Amount [kg or l/ha]</t>
  </si>
  <si>
    <t>Total amount [kg or l/ha]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</si>
  <si>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</si>
  <si>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</si>
  <si>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</si>
  <si>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</si>
  <si>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</si>
  <si>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</si>
  <si>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Crop internally used (e.g. as feed) or sold?</t>
  </si>
  <si>
    <t xml:space="preserve">Please indicate the specific costs of production, the total variable costs and subsidies. </t>
  </si>
  <si>
    <t xml:space="preserve">Soybean </t>
  </si>
  <si>
    <t>grain</t>
  </si>
  <si>
    <t xml:space="preserve">sold </t>
  </si>
  <si>
    <t>not</t>
  </si>
  <si>
    <t>yes</t>
  </si>
  <si>
    <t>90 kg/ha</t>
  </si>
  <si>
    <t xml:space="preserve">october </t>
  </si>
  <si>
    <t xml:space="preserve">winter wheat </t>
  </si>
  <si>
    <t>EXAMPLE - Crop [name of crop]: soybean</t>
  </si>
  <si>
    <t xml:space="preserve">Crop [name of crop]: wheat </t>
  </si>
  <si>
    <t>yes (inter row cultivation)</t>
  </si>
  <si>
    <t>pre emergence</t>
  </si>
  <si>
    <t>post emergence</t>
  </si>
  <si>
    <t>1,9 l/ha + 1 l/ha</t>
  </si>
  <si>
    <t xml:space="preserve">not available </t>
  </si>
  <si>
    <t xml:space="preserve">not </t>
  </si>
  <si>
    <t xml:space="preserve">grain </t>
  </si>
  <si>
    <t>sold</t>
  </si>
  <si>
    <t>200 kg/ha</t>
  </si>
  <si>
    <t xml:space="preserve">MAP </t>
  </si>
  <si>
    <t>in spring</t>
  </si>
  <si>
    <t>0,15 l/ha</t>
  </si>
  <si>
    <t xml:space="preserve">chernozem </t>
  </si>
  <si>
    <t xml:space="preserve">Corum (bentazon + imazamox) + Dash </t>
  </si>
  <si>
    <t>Secator (amidosulforon)</t>
  </si>
  <si>
    <t>Corn</t>
  </si>
  <si>
    <t>150 kg</t>
  </si>
  <si>
    <t>Laudis (tembotrion + izioksadifen-etil)</t>
  </si>
  <si>
    <t>2 l/ha</t>
  </si>
  <si>
    <t>CROP 3</t>
  </si>
  <si>
    <t>phase 12-18 BBCH-scale</t>
  </si>
  <si>
    <t>Equip (foramsulfuron)</t>
  </si>
  <si>
    <t>Crop [name of crop]: corn</t>
  </si>
  <si>
    <t>2017-2019</t>
  </si>
  <si>
    <t>one, DATE: april</t>
  </si>
  <si>
    <t>Turda jud. Cluj</t>
  </si>
  <si>
    <t>Romania (Transilvania)</t>
  </si>
  <si>
    <t>TURDA 200</t>
  </si>
  <si>
    <t>65 000 plants per hectare</t>
  </si>
  <si>
    <t>in spring- DATE: May</t>
  </si>
  <si>
    <t>Andrada</t>
  </si>
  <si>
    <t>Felix (00 maturity group)</t>
  </si>
  <si>
    <t>in spring -DATE April</t>
  </si>
  <si>
    <t>Merlin ( Isoxaflutol)</t>
  </si>
  <si>
    <t>pree emergence</t>
  </si>
  <si>
    <t>0,42  l/ha</t>
  </si>
  <si>
    <t>2,25  l/ha</t>
  </si>
  <si>
    <t>20,20,0</t>
  </si>
  <si>
    <t>in fall -DATE octomber</t>
  </si>
  <si>
    <t>300 kg</t>
  </si>
  <si>
    <t>one, DATE: May</t>
  </si>
  <si>
    <t>Falcon Pro (protioconazol  + spiro­xamină + tebuconazol )</t>
  </si>
  <si>
    <t>0,7 l /ha</t>
  </si>
  <si>
    <t>Biscaya (Tiacloprid)</t>
  </si>
  <si>
    <t>in spring (BBCH 29-69)</t>
  </si>
  <si>
    <t>0,2 l/ha</t>
  </si>
  <si>
    <t>two, DATE: april, may</t>
  </si>
  <si>
    <t>6,0 t/ha</t>
  </si>
  <si>
    <t>Frontier (dimetenamid-P ) + Sencor (metribuxin)</t>
  </si>
  <si>
    <t>1,5 l/ha + 0,47 l/ha</t>
  </si>
  <si>
    <t>1,2 l/ha</t>
  </si>
  <si>
    <t>2 t/ha</t>
  </si>
  <si>
    <t>vegetation period</t>
  </si>
  <si>
    <t>one, DATE: june</t>
  </si>
  <si>
    <t>Ortus (fenpiroximat)</t>
  </si>
  <si>
    <t>0,5 l/ha</t>
  </si>
  <si>
    <t>one, DATE: August</t>
  </si>
  <si>
    <t xml:space="preserve">yes, DATE: november </t>
  </si>
  <si>
    <t>yes, DATE: october</t>
  </si>
  <si>
    <t xml:space="preserve">yes, DATE: april </t>
  </si>
  <si>
    <t>yes, DATE: end of october</t>
  </si>
  <si>
    <t>Amount [kg/ha]</t>
  </si>
  <si>
    <t>sowing machinery , DATE: april</t>
  </si>
  <si>
    <t>Directa 400  (12,5cm), DATE: october</t>
  </si>
  <si>
    <t xml:space="preserve">one, DATE: April </t>
  </si>
  <si>
    <t>one, DATE: October</t>
  </si>
  <si>
    <r>
      <t>Total amount [kg or 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/ha]</t>
    </r>
  </si>
  <si>
    <t>one, DATE: march</t>
  </si>
  <si>
    <t>one, DATE: may</t>
  </si>
  <si>
    <t>yes - corn harvester DATE: October</t>
  </si>
  <si>
    <t>combine, DATE: july</t>
  </si>
  <si>
    <t>yes, DATE: november</t>
  </si>
  <si>
    <t>yes, DATE: april</t>
  </si>
  <si>
    <t>sowing machinery  (25 cm), DATE: april</t>
  </si>
  <si>
    <t>two times (split application), DATES: May</t>
  </si>
  <si>
    <t>combine, DATE: september</t>
  </si>
  <si>
    <t>in spring (BBCH 30-45)</t>
  </si>
  <si>
    <t>Clarimi ( IMAZAMOX)</t>
  </si>
  <si>
    <t>6.5 t/ha</t>
  </si>
  <si>
    <t>30 cm</t>
  </si>
  <si>
    <t>Insecticides</t>
  </si>
  <si>
    <t>Envidor (spirodiclofen)</t>
  </si>
  <si>
    <t>0,3 l/ha</t>
  </si>
  <si>
    <t>6.0 t/ha</t>
  </si>
  <si>
    <t xml:space="preserve">165eur/t </t>
  </si>
  <si>
    <t>156 eur/t</t>
  </si>
  <si>
    <t>307 eur/t</t>
  </si>
  <si>
    <t>two, DATES: 2 in May</t>
  </si>
  <si>
    <t>27% N, 20 %CaCO3</t>
  </si>
  <si>
    <t>27%N, 13.5%P, 0%K</t>
  </si>
  <si>
    <t xml:space="preserve">Contact person:
</t>
  </si>
  <si>
    <t xml:space="preserve">Acknowledgement to:
</t>
  </si>
  <si>
    <t>How representative are the data?</t>
  </si>
  <si>
    <t>Data representing practical farming?</t>
  </si>
  <si>
    <t>Yes</t>
  </si>
  <si>
    <t>Data coming from averages over several years?</t>
  </si>
  <si>
    <t>No</t>
  </si>
  <si>
    <t>Data for yield stability?</t>
  </si>
  <si>
    <t>Average yields from this data cannot be compared with the data in the rotations!</t>
  </si>
  <si>
    <t>Can differences between the rotations be traced back to the presence of the legume alone?</t>
  </si>
  <si>
    <t>1. Dr. Raluca Rezi, ARDS Turda, Turda, Cluj county, Romania, ralucutza_dana@yahoo.com</t>
  </si>
  <si>
    <t xml:space="preserve">2. Leopold Rittler, Donau Soja, Vienna. Contact: rittler@donausoja.org   </t>
  </si>
  <si>
    <t>There are no differences in the management and yield of the other crops.</t>
  </si>
  <si>
    <t xml:space="preserve">Donau Soja and partners (Italy (Sipcam, F. Lazzari), Romania (ARDS Turda, R. Rezi &amp; ARDS Secuieni, S. Pochiscanu-Isticioaia), Austria (Donau Soja, L. Rittler), Ukraine (Donau Soja, I. Korchahina, A. Radiuk))  </t>
  </si>
  <si>
    <t xml:space="preserve">Therefore they are crop rotations with specific yield data for this year. </t>
  </si>
  <si>
    <t>The rotations are typical in terms of crop choice and management for Romania.</t>
  </si>
  <si>
    <t>The rotations are based on expert knowledge informed by results from field trials in the Agricultural Research Develoment Station Turda.</t>
  </si>
  <si>
    <t>The data is based on results from the production in 2019 and is not representative for a longer time period.</t>
  </si>
  <si>
    <t>Average yields from all fields for each year from the research station.</t>
  </si>
  <si>
    <t>The data is compiled with production data from 2019 and adpated according to pre-crop effects.</t>
  </si>
  <si>
    <t>Crop 1</t>
  </si>
  <si>
    <t>Crop 2</t>
  </si>
  <si>
    <t>Crop 3</t>
  </si>
  <si>
    <t>Without Legumes:</t>
  </si>
  <si>
    <t xml:space="preserve">Winter wheat </t>
  </si>
  <si>
    <t>With Legumes:</t>
  </si>
  <si>
    <t>Soybean</t>
  </si>
  <si>
    <t>Content N</t>
  </si>
  <si>
    <t>Yield DM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</si>
  <si>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</si>
  <si>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</si>
  <si>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</si>
  <si>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</si>
  <si>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</si>
  <si>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</si>
  <si>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</si>
  <si>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</si>
  <si>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Without legumes</t>
  </si>
  <si>
    <t>Cereal crop</t>
  </si>
  <si>
    <t>Leaf crop</t>
  </si>
  <si>
    <t>Legume</t>
  </si>
  <si>
    <t>With legumes</t>
  </si>
  <si>
    <t>Gross margin (prices feed calculator)</t>
  </si>
  <si>
    <t>GM with CO2 tax I</t>
  </si>
  <si>
    <t>GM with CO2 tax II</t>
  </si>
  <si>
    <t>NO3 leaching [kg/ha]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</si>
  <si>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</si>
  <si>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</si>
  <si>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</si>
  <si>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</si>
  <si>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Protein yield [kg/ha]</t>
  </si>
  <si>
    <t>Crop diversity</t>
  </si>
  <si>
    <t>Coefficient of variation</t>
  </si>
  <si>
    <t>N fertilizers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</si>
  <si>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</si>
  <si>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</si>
  <si>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</si>
  <si>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</si>
  <si>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</si>
  <si>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</si>
  <si>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</si>
  <si>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</si>
  <si>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</si>
  <si>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Maize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</si>
  <si>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</si>
  <si>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</si>
  <si>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</si>
  <si>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</si>
  <si>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</si>
  <si>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</si>
  <si>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</si>
  <si>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</si>
  <si>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</si>
  <si>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</si>
  <si>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</si>
  <si>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</si>
  <si>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</si>
  <si>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</si>
  <si>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</si>
  <si>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</si>
  <si>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</si>
  <si>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</si>
  <si>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</si>
  <si>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</si>
  <si>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</si>
  <si>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</si>
  <si>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</si>
  <si>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</si>
  <si>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</si>
  <si>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Winter rape</t>
  </si>
  <si>
    <t>Winter barley</t>
  </si>
  <si>
    <t>Winter oat</t>
  </si>
  <si>
    <t>Spring barley</t>
  </si>
  <si>
    <t>Field pea</t>
  </si>
  <si>
    <t>Faba bean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</si>
  <si>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</si>
  <si>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</si>
  <si>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</si>
  <si>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</si>
  <si>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</si>
  <si>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</si>
  <si>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</si>
  <si>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</si>
  <si>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</si>
  <si>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</si>
  <si>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</si>
  <si>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</si>
  <si>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</si>
  <si>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</si>
  <si>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</si>
  <si>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Urea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</si>
  <si>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</si>
  <si>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</si>
  <si>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</si>
  <si>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</si>
  <si>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</si>
  <si>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</si>
  <si>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</si>
  <si>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AN</t>
  </si>
  <si>
    <t>Value for ammonium-Nitrate based</t>
  </si>
  <si>
    <t>Nutribor</t>
  </si>
  <si>
    <t>Default</t>
  </si>
  <si>
    <t>FYM</t>
  </si>
  <si>
    <t>NPK</t>
  </si>
  <si>
    <t>NH4NO3</t>
  </si>
  <si>
    <t>Euroserial Duo</t>
  </si>
  <si>
    <t>Sulfano</t>
  </si>
  <si>
    <t>DAP</t>
  </si>
  <si>
    <t>Lebosol</t>
  </si>
  <si>
    <t>CAN</t>
  </si>
  <si>
    <t>Urea 120</t>
  </si>
  <si>
    <t>N8P16K20 +SO3+B</t>
  </si>
  <si>
    <t>MAP</t>
  </si>
  <si>
    <t>IPCCID</t>
  </si>
  <si>
    <t>Winter wheat</t>
  </si>
  <si>
    <t>Soya</t>
  </si>
  <si>
    <t>Sunflower</t>
  </si>
  <si>
    <t>Dry bean</t>
  </si>
  <si>
    <t>Forage pea</t>
  </si>
  <si>
    <t>Other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</si>
  <si>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</si>
  <si>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</si>
  <si>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</si>
  <si>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</si>
  <si>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</si>
  <si>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</si>
  <si>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</si>
  <si>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</si>
  <si>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</si>
  <si>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Energy output [GJ/ha]</t>
  </si>
  <si>
    <t>Yield FM [t/ha]</t>
  </si>
  <si>
    <t>DM content</t>
  </si>
  <si>
    <t>Yield DM [t/ha]</t>
  </si>
  <si>
    <t>Crude protein [% DM]</t>
  </si>
  <si>
    <t>Protein output [t/ha]</t>
  </si>
  <si>
    <t>Protein output rotations [kg/ha]</t>
  </si>
  <si>
    <t>Gross energy [GJ/t DM]</t>
  </si>
  <si>
    <t xml:space="preserve">Energy output rotations [GJ/ha] </t>
  </si>
  <si>
    <t xml:space="preserve">Rye </t>
  </si>
  <si>
    <t>Tritcale</t>
  </si>
  <si>
    <t>Wheat</t>
  </si>
  <si>
    <t>Rapeseeds</t>
  </si>
  <si>
    <t>Blue lupin</t>
  </si>
  <si>
    <t>Pea seeds</t>
  </si>
  <si>
    <t>Oat</t>
  </si>
  <si>
    <t>Maize silage</t>
  </si>
  <si>
    <t>Alfalfa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</si>
  <si>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</si>
  <si>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</si>
  <si>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</si>
  <si>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</si>
  <si>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</si>
  <si>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</si>
  <si>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</si>
  <si>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</si>
  <si>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</si>
  <si>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</si>
  <si>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</si>
  <si>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</si>
  <si>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</si>
  <si>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</si>
  <si>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Price [€/t]</t>
  </si>
  <si>
    <t>Revenue [€/ha]</t>
  </si>
  <si>
    <t>Straw [t/ha]</t>
  </si>
  <si>
    <t>Variable costs [€/ha]</t>
  </si>
  <si>
    <t>Gross margin [€/ha]</t>
  </si>
  <si>
    <t>Gross margin rotation [€/ha]</t>
  </si>
  <si>
    <t>Price [EUR/t]</t>
  </si>
  <si>
    <t>NP (A)</t>
  </si>
  <si>
    <t>NP (B)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</si>
  <si>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</si>
  <si>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</si>
  <si>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</si>
  <si>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</si>
  <si>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>Nfix [kg/ha]</t>
  </si>
  <si>
    <t>Gross margin (standard) [€/ha]</t>
  </si>
  <si>
    <t>Calculations</t>
  </si>
  <si>
    <t xml:space="preserve"> N leaching= N surplus * Leaching probability * N leach_corr</t>
  </si>
  <si>
    <t>N surplus = N input + Nminpa - N dfs</t>
  </si>
  <si>
    <t>-&gt; valid for non-legumes</t>
  </si>
  <si>
    <t>N surplus = N minfert + N manure P + Nminpa - N dfs</t>
  </si>
  <si>
    <t>-&gt; valid for legumes and non-legumes</t>
  </si>
  <si>
    <t xml:space="preserve">N dfs is the nitrogen derived from soil </t>
  </si>
  <si>
    <t>N dfs = N uptake + N fix</t>
  </si>
  <si>
    <t>-&gt; N uptake is the N accumulated by the crop and N fix is BNF of grain and forage legumes</t>
  </si>
  <si>
    <t>(N input encloses additional N from seed)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</si>
</sst>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00000"/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6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8" borderId="0" xfId="0" applyFill="1" applyBorder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5" fillId="9" borderId="19" xfId="0" applyFont="1" applyFill="1" applyBorder="1"/>
    <xf numFmtId="0" fontId="5" fillId="9" borderId="14" xfId="0" applyFont="1" applyFill="1" applyBorder="1"/>
    <xf numFmtId="0" fontId="5" fillId="4" borderId="44" xfId="0" applyFont="1" applyFill="1" applyBorder="1"/>
    <xf numFmtId="0" fontId="5" fillId="9" borderId="51" xfId="0" applyFont="1" applyFill="1" applyBorder="1"/>
    <xf numFmtId="0" fontId="6" fillId="0" borderId="0" xfId="0" applyFont="1" applyAlignment="1">
      <alignment wrapText="1"/>
    </xf>
    <xf numFmtId="0" fontId="0" fillId="0" borderId="0" xfId="0" applyFont="1"/>
    <xf numFmtId="0" fontId="5" fillId="3" borderId="5" xfId="0" applyFont="1" applyFill="1" applyBorder="1" applyAlignment="1">
      <alignment horizontal="center"/>
    </xf>
    <xf numFmtId="0" fontId="5" fillId="0" borderId="21" xfId="0" applyFont="1" applyBorder="1"/>
    <xf numFmtId="0" fontId="7" fillId="0" borderId="8" xfId="0" applyFont="1" applyBorder="1"/>
    <xf numFmtId="0" fontId="7" fillId="8" borderId="49" xfId="0" applyFont="1" applyFill="1" applyBorder="1" applyAlignment="1"/>
    <xf numFmtId="0" fontId="5" fillId="8" borderId="0" xfId="0" applyFont="1" applyFill="1" applyBorder="1" applyAlignment="1"/>
    <xf numFmtId="0" fontId="5" fillId="8" borderId="0" xfId="0" applyFont="1" applyFill="1" applyAlignment="1"/>
    <xf numFmtId="0" fontId="5" fillId="8" borderId="1" xfId="0" applyFont="1" applyFill="1" applyBorder="1" applyAlignment="1"/>
    <xf numFmtId="0" fontId="5" fillId="9" borderId="32" xfId="0" applyFont="1" applyFill="1" applyBorder="1"/>
    <xf numFmtId="0" fontId="5" fillId="0" borderId="12" xfId="0" applyFont="1" applyBorder="1" applyAlignment="1"/>
    <xf numFmtId="0" fontId="5" fillId="0" borderId="14" xfId="0" applyFont="1" applyBorder="1" applyAlignment="1"/>
    <xf numFmtId="0" fontId="5" fillId="0" borderId="18" xfId="0" applyFont="1" applyBorder="1" applyAlignment="1"/>
    <xf numFmtId="0" fontId="5" fillId="8" borderId="0" xfId="0" applyFont="1" applyFill="1" applyBorder="1"/>
    <xf numFmtId="0" fontId="5" fillId="4" borderId="14" xfId="0" applyFont="1" applyFill="1" applyBorder="1"/>
    <xf numFmtId="0" fontId="5" fillId="4" borderId="32" xfId="0" applyFont="1" applyFill="1" applyBorder="1" applyAlignment="1">
      <alignment wrapText="1"/>
    </xf>
    <xf numFmtId="0" fontId="5" fillId="0" borderId="13" xfId="0" applyFont="1" applyBorder="1"/>
    <xf numFmtId="0" fontId="5" fillId="0" borderId="18" xfId="0" applyFont="1" applyBorder="1"/>
    <xf numFmtId="0" fontId="5" fillId="6" borderId="44" xfId="0" applyFont="1" applyFill="1" applyBorder="1"/>
    <xf numFmtId="0" fontId="5" fillId="6" borderId="14" xfId="0" applyFont="1" applyFill="1" applyBorder="1"/>
    <xf numFmtId="0" fontId="5" fillId="6" borderId="32" xfId="0" applyFont="1" applyFill="1" applyBorder="1"/>
    <xf numFmtId="0" fontId="5" fillId="3" borderId="8" xfId="0" applyFont="1" applyFill="1" applyBorder="1"/>
    <xf numFmtId="0" fontId="5" fillId="3" borderId="36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8" xfId="0" applyFont="1" applyFill="1" applyBorder="1" applyAlignment="1"/>
    <xf numFmtId="0" fontId="5" fillId="3" borderId="19" xfId="0" applyFont="1" applyFill="1" applyBorder="1"/>
    <xf numFmtId="0" fontId="5" fillId="3" borderId="43" xfId="0" applyFont="1" applyFill="1" applyBorder="1" applyAlignment="1">
      <alignment horizontal="center"/>
    </xf>
    <xf numFmtId="9" fontId="5" fillId="3" borderId="5" xfId="0" applyNumberFormat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42" xfId="0" applyFont="1" applyFill="1" applyBorder="1" applyAlignment="1">
      <alignment horizontal="center"/>
    </xf>
    <xf numFmtId="2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6" xfId="0" applyFont="1" applyFill="1" applyBorder="1"/>
    <xf numFmtId="0" fontId="5" fillId="3" borderId="32" xfId="0" applyFont="1" applyFill="1" applyBorder="1"/>
    <xf numFmtId="0" fontId="5" fillId="0" borderId="13" xfId="0" applyFont="1" applyBorder="1" applyAlignment="1">
      <alignment horizontal="center" textRotation="90"/>
    </xf>
    <xf numFmtId="0" fontId="5" fillId="3" borderId="3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8" borderId="3" xfId="0" applyFont="1" applyFill="1" applyBorder="1"/>
    <xf numFmtId="0" fontId="5" fillId="8" borderId="10" xfId="0" applyFont="1" applyFill="1" applyBorder="1"/>
    <xf numFmtId="0" fontId="5" fillId="4" borderId="8" xfId="0" applyFont="1" applyFill="1" applyBorder="1"/>
    <xf numFmtId="0" fontId="5" fillId="4" borderId="37" xfId="0" applyFont="1" applyFill="1" applyBorder="1" applyAlignment="1">
      <alignment horizontal="center"/>
    </xf>
    <xf numFmtId="0" fontId="5" fillId="4" borderId="19" xfId="0" applyFont="1" applyFill="1" applyBorder="1"/>
    <xf numFmtId="0" fontId="5" fillId="4" borderId="6" xfId="0" applyFont="1" applyFill="1" applyBorder="1" applyAlignment="1">
      <alignment horizontal="center"/>
    </xf>
    <xf numFmtId="0" fontId="5" fillId="4" borderId="32" xfId="0" applyFont="1" applyFill="1" applyBorder="1"/>
    <xf numFmtId="0" fontId="5" fillId="4" borderId="33" xfId="0" applyFont="1" applyFill="1" applyBorder="1" applyAlignment="1">
      <alignment horizontal="center"/>
    </xf>
    <xf numFmtId="0" fontId="5" fillId="3" borderId="44" xfId="0" applyFont="1" applyFill="1" applyBorder="1"/>
    <xf numFmtId="0" fontId="5" fillId="3" borderId="14" xfId="0" applyFont="1" applyFill="1" applyBorder="1" applyAlignment="1">
      <alignment wrapText="1"/>
    </xf>
    <xf numFmtId="0" fontId="5" fillId="8" borderId="28" xfId="0" applyFont="1" applyFill="1" applyBorder="1"/>
    <xf numFmtId="0" fontId="5" fillId="0" borderId="0" xfId="0" applyFont="1"/>
    <xf numFmtId="0" fontId="5" fillId="3" borderId="31" xfId="0" applyFont="1" applyFill="1" applyBorder="1" applyAlignment="1">
      <alignment horizontal="center"/>
    </xf>
    <xf numFmtId="0" fontId="5" fillId="0" borderId="0" xfId="0" applyFont="1" applyBorder="1"/>
    <xf numFmtId="0" fontId="1" fillId="0" borderId="0" xfId="0" applyFont="1" applyAlignment="1">
      <alignment wrapText="1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>
      <alignment vertical="center"/>
    </xf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0" fontId="11" fillId="0" borderId="0" xfId="3" applyFont="1" applyFill="1" applyBorder="1" applyAlignment="1">
      <alignment wrapText="1"/>
    </xf>
    <xf numFmtId="0" fontId="11" fillId="0" borderId="0" xfId="2" applyFont="1" applyFill="1" applyBorder="1" applyAlignment="1"/>
    <xf numFmtId="0" fontId="11" fillId="0" borderId="0" xfId="2" applyFont="1" applyFill="1" applyBorder="1" applyAlignment="1">
      <alignment wrapText="1"/>
    </xf>
    <xf numFmtId="0" fontId="11" fillId="0" borderId="3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right" wrapText="1"/>
    </xf>
    <xf numFmtId="2" fontId="0" fillId="0" borderId="0" xfId="0" applyNumberFormat="1"/>
    <xf numFmtId="0" fontId="0" fillId="0" borderId="53" xfId="0" applyBorder="1"/>
    <xf numFmtId="0" fontId="3" fillId="0" borderId="53" xfId="0" applyFont="1" applyBorder="1"/>
    <xf numFmtId="0" fontId="3" fillId="0" borderId="6" xfId="0" applyFont="1" applyBorder="1"/>
    <xf numFmtId="0" fontId="0" fillId="0" borderId="7" xfId="0" applyBorder="1"/>
    <xf numFmtId="0" fontId="0" fillId="0" borderId="0" xfId="0" applyAlignment="1"/>
    <xf numFmtId="0" fontId="0" fillId="11" borderId="0" xfId="0" applyFill="1"/>
    <xf numFmtId="0" fontId="3" fillId="0" borderId="0" xfId="0" applyFont="1" applyBorder="1"/>
    <xf numFmtId="0" fontId="0" fillId="0" borderId="0" xfId="0" applyFill="1" applyBorder="1"/>
    <xf numFmtId="0" fontId="0" fillId="0" borderId="28" xfId="0" applyFill="1" applyBorder="1" applyAlignment="1">
      <alignment horizontal="center" vertical="center" wrapText="1"/>
    </xf>
    <xf numFmtId="0" fontId="0" fillId="0" borderId="54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 wrapText="1"/>
    </xf>
    <xf numFmtId="164" fontId="0" fillId="0" borderId="54" xfId="0" applyNumberFormat="1" applyFill="1" applyBorder="1" applyAlignment="1">
      <alignment horizontal="center" vertical="center" wrapText="1"/>
    </xf>
    <xf numFmtId="0" fontId="0" fillId="12" borderId="0" xfId="0" applyFill="1"/>
    <xf numFmtId="0" fontId="7" fillId="0" borderId="0" xfId="0" applyFont="1" applyBorder="1"/>
    <xf numFmtId="0" fontId="3" fillId="0" borderId="0" xfId="0" applyFont="1" applyFill="1" applyBorder="1"/>
    <xf numFmtId="0" fontId="0" fillId="9" borderId="0" xfId="0" applyFill="1"/>
    <xf numFmtId="0" fontId="11" fillId="0" borderId="55" xfId="4" applyFont="1" applyFill="1" applyBorder="1" applyAlignment="1">
      <alignment horizontal="right" wrapText="1"/>
    </xf>
    <xf numFmtId="0" fontId="11" fillId="0" borderId="56" xfId="2" applyFont="1" applyFill="1" applyBorder="1" applyAlignment="1">
      <alignment wrapText="1"/>
    </xf>
    <xf numFmtId="0" fontId="11" fillId="0" borderId="56" xfId="3" applyFont="1" applyFill="1" applyBorder="1" applyAlignment="1">
      <alignment wrapText="1"/>
    </xf>
    <xf numFmtId="1" fontId="0" fillId="0" borderId="0" xfId="0" applyNumberFormat="1"/>
    <xf numFmtId="165" fontId="0" fillId="0" borderId="0" xfId="0" applyNumberFormat="1"/>
    <xf numFmtId="0" fontId="3" fillId="13" borderId="0" xfId="0" applyFont="1" applyFill="1"/>
    <xf numFmtId="166" fontId="0" fillId="0" borderId="0" xfId="0" applyNumberFormat="1"/>
    <xf numFmtId="167" fontId="0" fillId="0" borderId="0" xfId="0" applyNumberFormat="1"/>
    <xf numFmtId="165" fontId="0" fillId="0" borderId="0" xfId="0" applyNumberFormat="1" applyFill="1" applyBorder="1"/>
    <xf numFmtId="0" fontId="0" fillId="0" borderId="0" xfId="0" applyFill="1"/>
    <xf numFmtId="9" fontId="0" fillId="0" borderId="0" xfId="0" applyNumberFormat="1" applyFill="1"/>
    <xf numFmtId="2" fontId="15" fillId="0" borderId="57" xfId="0" applyNumberFormat="1" applyFont="1" applyFill="1" applyBorder="1" applyAlignment="1" applyProtection="1">
      <alignment horizontal="right" vertical="center" wrapText="1"/>
    </xf>
    <xf numFmtId="1" fontId="15" fillId="0" borderId="57" xfId="0" applyNumberFormat="1" applyFont="1" applyFill="1" applyBorder="1" applyAlignment="1" applyProtection="1">
      <alignment horizontal="right" vertical="center" wrapText="1"/>
    </xf>
    <xf numFmtId="1" fontId="15" fillId="0" borderId="58" xfId="0" applyNumberFormat="1" applyFont="1" applyFill="1" applyBorder="1" applyAlignment="1" applyProtection="1">
      <alignment horizontal="right" vertical="center" wrapText="1"/>
    </xf>
    <xf numFmtId="1" fontId="15" fillId="0" borderId="0" xfId="0" applyNumberFormat="1" applyFont="1" applyFill="1" applyBorder="1" applyAlignment="1" applyProtection="1">
      <alignment horizontal="right" vertical="center" wrapText="1"/>
    </xf>
    <xf numFmtId="0" fontId="11" fillId="0" borderId="55" xfId="4" applyFont="1" applyFill="1" applyBorder="1" applyAlignment="1">
      <alignment horizontal="left" wrapText="1"/>
    </xf>
    <xf numFmtId="2" fontId="11" fillId="0" borderId="59" xfId="5" applyNumberFormat="1" applyFont="1" applyFill="1" applyBorder="1" applyAlignment="1">
      <alignment horizontal="right" wrapText="1"/>
    </xf>
    <xf numFmtId="2" fontId="11" fillId="0" borderId="60" xfId="5" applyNumberFormat="1" applyFont="1" applyFill="1" applyBorder="1" applyAlignment="1">
      <alignment horizontal="righ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5" fillId="9" borderId="1" xfId="0" applyFont="1" applyFill="1" applyBorder="1" applyAlignment="1">
      <alignment horizontal="center" vertical="center"/>
    </xf>
    <xf numFmtId="0" fontId="5" fillId="9" borderId="50" xfId="0" applyFont="1" applyFill="1" applyBorder="1" applyAlignment="1">
      <alignment horizontal="center" vertical="center"/>
    </xf>
    <xf numFmtId="0" fontId="5" fillId="9" borderId="46" xfId="0" applyFont="1" applyFill="1" applyBorder="1" applyAlignment="1">
      <alignment horizontal="center" vertical="center"/>
    </xf>
    <xf numFmtId="0" fontId="5" fillId="9" borderId="33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7" fillId="9" borderId="2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23" xfId="0" applyFont="1" applyFill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5" fillId="9" borderId="40" xfId="0" applyFont="1" applyFill="1" applyBorder="1" applyAlignment="1">
      <alignment horizontal="center"/>
    </xf>
    <xf numFmtId="0" fontId="5" fillId="9" borderId="41" xfId="0" applyFont="1" applyFill="1" applyBorder="1" applyAlignment="1">
      <alignment horizontal="center"/>
    </xf>
    <xf numFmtId="0" fontId="5" fillId="9" borderId="42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2" borderId="11" xfId="0" applyFont="1" applyFill="1" applyBorder="1" applyAlignment="1">
      <alignment horizontal="center" textRotation="90" wrapText="1"/>
    </xf>
    <xf numFmtId="0" fontId="5" fillId="4" borderId="3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textRotation="90"/>
    </xf>
    <xf numFmtId="0" fontId="7" fillId="7" borderId="17" xfId="0" applyFont="1" applyFill="1" applyBorder="1" applyAlignment="1">
      <alignment horizontal="center" textRotation="90"/>
    </xf>
    <xf numFmtId="0" fontId="7" fillId="7" borderId="9" xfId="0" applyFont="1" applyFill="1" applyBorder="1" applyAlignment="1">
      <alignment horizontal="center" textRotation="90"/>
    </xf>
    <xf numFmtId="0" fontId="5" fillId="3" borderId="16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 textRotation="90"/>
    </xf>
    <xf numFmtId="0" fontId="7" fillId="5" borderId="17" xfId="0" applyFont="1" applyFill="1" applyBorder="1" applyAlignment="1">
      <alignment horizontal="center" textRotation="90"/>
    </xf>
    <xf numFmtId="0" fontId="7" fillId="5" borderId="9" xfId="0" applyFont="1" applyFill="1" applyBorder="1" applyAlignment="1">
      <alignment horizontal="center" textRotation="90"/>
    </xf>
    <xf numFmtId="0" fontId="5" fillId="6" borderId="16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 textRotation="90"/>
    </xf>
    <xf numFmtId="0" fontId="7" fillId="7" borderId="13" xfId="0" applyFont="1" applyFill="1" applyBorder="1" applyAlignment="1">
      <alignment horizontal="center" textRotation="90"/>
    </xf>
    <xf numFmtId="0" fontId="7" fillId="7" borderId="23" xfId="0" applyFont="1" applyFill="1" applyBorder="1" applyAlignment="1">
      <alignment horizontal="center" textRotation="90"/>
    </xf>
    <xf numFmtId="0" fontId="5" fillId="3" borderId="38" xfId="0" applyFont="1" applyFill="1" applyBorder="1" applyAlignment="1">
      <alignment horizontal="center" wrapText="1"/>
    </xf>
    <xf numFmtId="0" fontId="5" fillId="3" borderId="48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37" xfId="0" applyFont="1" applyFill="1" applyBorder="1" applyAlignment="1">
      <alignment horizontal="center"/>
    </xf>
    <xf numFmtId="0" fontId="5" fillId="6" borderId="3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 textRotation="90" wrapText="1"/>
    </xf>
    <xf numFmtId="0" fontId="7" fillId="2" borderId="17" xfId="0" applyFont="1" applyFill="1" applyBorder="1" applyAlignment="1">
      <alignment horizontal="center" textRotation="90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33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 textRotation="90"/>
    </xf>
    <xf numFmtId="0" fontId="5" fillId="6" borderId="16" xfId="0" applyFont="1" applyFill="1" applyBorder="1" applyAlignment="1">
      <alignment horizontal="center" wrapText="1"/>
    </xf>
    <xf numFmtId="0" fontId="5" fillId="6" borderId="18" xfId="0" applyFont="1" applyFill="1" applyBorder="1" applyAlignment="1">
      <alignment horizontal="center" wrapText="1"/>
    </xf>
    <xf numFmtId="0" fontId="5" fillId="6" borderId="19" xfId="0" applyFont="1" applyFill="1" applyBorder="1" applyAlignment="1">
      <alignment horizontal="center" wrapText="1"/>
    </xf>
    <xf numFmtId="0" fontId="5" fillId="4" borderId="35" xfId="0" quotePrefix="1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3" fontId="5" fillId="4" borderId="5" xfId="0" applyNumberFormat="1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4" xfId="0" quotePrefix="1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 wrapText="1"/>
    </xf>
    <xf numFmtId="0" fontId="5" fillId="3" borderId="47" xfId="0" applyFont="1" applyFill="1" applyBorder="1" applyAlignment="1">
      <alignment horizontal="left" wrapText="1"/>
    </xf>
    <xf numFmtId="0" fontId="5" fillId="3" borderId="27" xfId="0" quotePrefix="1" applyFont="1" applyFill="1" applyBorder="1" applyAlignment="1">
      <alignment horizontal="center"/>
    </xf>
    <xf numFmtId="0" fontId="5" fillId="3" borderId="52" xfId="0" quotePrefix="1" applyFont="1" applyFill="1" applyBorder="1" applyAlignment="1">
      <alignment horizontal="center"/>
    </xf>
    <xf numFmtId="0" fontId="5" fillId="3" borderId="26" xfId="0" quotePrefix="1" applyFont="1" applyFill="1" applyBorder="1" applyAlignment="1">
      <alignment horizontal="center"/>
    </xf>
    <xf numFmtId="0" fontId="5" fillId="3" borderId="31" xfId="0" quotePrefix="1" applyFont="1" applyFill="1" applyBorder="1" applyAlignment="1">
      <alignment horizontal="center"/>
    </xf>
    <xf numFmtId="0" fontId="5" fillId="3" borderId="7" xfId="0" quotePrefix="1" applyFont="1" applyFill="1" applyBorder="1" applyAlignment="1">
      <alignment horizontal="center"/>
    </xf>
    <xf numFmtId="0" fontId="5" fillId="3" borderId="6" xfId="0" quotePrefix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</cellXfs>
  <cellStyles count="6">
    <cellStyle name="Prozent" xfId="1" builtinId="5"/>
    <cellStyle name="Standard" xfId="0" builtinId="0"/>
    <cellStyle name="Standard_arable-legume" xfId="4"/>
    <cellStyle name="Standard_Input data crop_1" xfId="5"/>
    <cellStyle name="Standard_Tabelle1" xfId="2"/>
    <cellStyle name="Standard_Tabelle1_1" xfId="3"/>
  </cellStyles>
  <dxfs count="0"/>
  <tableStyles count="0" defaultTableStyle="TableStyleMedium2" defaultPivotStyle="PivotStyleLight16"/>
  <colors>
    <mruColors>
      <color rgb="FFCC99FF"/>
      <color rgb="FFCC9900"/>
      <color rgb="FF996600"/>
      <color rgb="FFCCCCFF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57</xdr:row>
      <xdr:rowOff>0</xdr:rowOff>
    </xdr:from>
    <xdr:to>
      <xdr:col>7</xdr:col>
      <xdr:colOff>1371600</xdr:colOff>
      <xdr:row>59</xdr:row>
      <xdr:rowOff>127000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11379200" y="11290300"/>
          <a:ext cx="5080000" cy="48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"the protection products are in May applied together"</a:t>
          </a:r>
        </a:p>
        <a:p>
          <a:endParaRPr lang="en-US" sz="1100"/>
        </a:p>
      </xdr:txBody>
    </xdr:sp>
    <xdr:clientData/>
  </xdr:twoCellAnchor>
  <xdr:twoCellAnchor>
    <xdr:from>
      <xdr:col>12</xdr:col>
      <xdr:colOff>0</xdr:colOff>
      <xdr:row>57</xdr:row>
      <xdr:rowOff>0</xdr:rowOff>
    </xdr:from>
    <xdr:to>
      <xdr:col>15</xdr:col>
      <xdr:colOff>368300</xdr:colOff>
      <xdr:row>59</xdr:row>
      <xdr:rowOff>127000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26390600" y="11290300"/>
          <a:ext cx="5080000" cy="48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"the protection products are in May applied together"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58</xdr:row>
      <xdr:rowOff>38100</xdr:rowOff>
    </xdr:from>
    <xdr:to>
      <xdr:col>21</xdr:col>
      <xdr:colOff>2197100</xdr:colOff>
      <xdr:row>60</xdr:row>
      <xdr:rowOff>165100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38049200" y="11506200"/>
          <a:ext cx="11188700" cy="48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"the protection products are in May applied together ( for those with 2 application the second application was only that product)"</a:t>
          </a:r>
        </a:p>
        <a:p>
          <a:endParaRPr lang="en-US" sz="1100"/>
        </a:p>
      </xdr:txBody>
    </xdr:sp>
    <xdr:clientData/>
  </xdr:twoCellAnchor>
  <xdr:twoCellAnchor>
    <xdr:from>
      <xdr:col>4</xdr:col>
      <xdr:colOff>2641600</xdr:colOff>
      <xdr:row>57</xdr:row>
      <xdr:rowOff>38100</xdr:rowOff>
    </xdr:from>
    <xdr:to>
      <xdr:col>7</xdr:col>
      <xdr:colOff>419100</xdr:colOff>
      <xdr:row>59</xdr:row>
      <xdr:rowOff>165100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10629900" y="11328400"/>
          <a:ext cx="4876800" cy="48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"the protection products are in May applied together"</a:t>
          </a:r>
        </a:p>
        <a:p>
          <a:endParaRPr lang="en-US" sz="1100"/>
        </a:p>
      </xdr:txBody>
    </xdr:sp>
    <xdr:clientData/>
  </xdr:twoCellAnchor>
  <xdr:twoCellAnchor>
    <xdr:from>
      <xdr:col>12</xdr:col>
      <xdr:colOff>165100</xdr:colOff>
      <xdr:row>56</xdr:row>
      <xdr:rowOff>152400</xdr:rowOff>
    </xdr:from>
    <xdr:to>
      <xdr:col>15</xdr:col>
      <xdr:colOff>622300</xdr:colOff>
      <xdr:row>59</xdr:row>
      <xdr:rowOff>101600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 txBox="1"/>
      </xdr:nvSpPr>
      <xdr:spPr>
        <a:xfrm>
          <a:off x="25831800" y="11264900"/>
          <a:ext cx="5080000" cy="48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"the protection products are in May applied together"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0" y="0"/>
          <a:ext cx="12033248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G1" sqref="G1:H1"/>
    </sheetView>
  </sheetViews>
  <sheetFormatPr baseColWidth="10" defaultColWidth="11.42578125" defaultRowHeight="15" x14ac:dyDescent="0.25"/>
  <cols>
    <col min="1" max="1" width="17.28515625" style="5" bestFit="1" customWidth="1"/>
    <col min="2" max="2" width="11.42578125" style="5"/>
    <col min="3" max="3" width="13.5703125" style="5" bestFit="1" customWidth="1"/>
    <col min="4" max="8" width="11.42578125" style="5"/>
    <col min="9" max="9" width="0" style="5" hidden="1" customWidth="1"/>
    <col min="10" max="11" width="11.42578125" style="5"/>
    <col min="12" max="12" width="0" style="5" hidden="1" customWidth="1"/>
    <col min="13" max="16384" width="11.42578125" style="5"/>
  </cols>
  <sheetData>
    <row r="1" spans="1:17" ht="76.5" x14ac:dyDescent="0.35">
      <c r="B1" s="5" t="s">
        <v>218</v>
      </c>
      <c r="C1" s="5" t="s">
        <v>219</v>
      </c>
      <c r="D1" s="5" t="s">
        <v>220</v>
      </c>
      <c r="E1" s="106" t="s">
        <v>393</v>
      </c>
      <c r="F1" s="140" t="s">
        <v>240</v>
      </c>
      <c r="G1" s="125" t="s">
        <v>241</v>
      </c>
      <c r="H1" s="125" t="s">
        <v>242</v>
      </c>
      <c r="I1" s="107" t="s">
        <v>246</v>
      </c>
      <c r="J1" s="107" t="s">
        <v>243</v>
      </c>
      <c r="K1" s="107" t="s">
        <v>244</v>
      </c>
      <c r="L1" s="107" t="s">
        <v>245</v>
      </c>
      <c r="M1" s="107" t="s">
        <v>247</v>
      </c>
      <c r="N1" s="107" t="s">
        <v>252</v>
      </c>
      <c r="O1" s="107" t="s">
        <v>248</v>
      </c>
      <c r="P1" s="125" t="s">
        <v>347</v>
      </c>
      <c r="Q1" s="107" t="s">
        <v>249</v>
      </c>
    </row>
    <row r="2" spans="1:17" x14ac:dyDescent="0.25">
      <c r="A2" s="5" t="s">
        <v>221</v>
      </c>
      <c r="B2" s="5" t="s">
        <v>123</v>
      </c>
      <c r="C2" s="5" t="s">
        <v>222</v>
      </c>
      <c r="E2" s="128">
        <f>GM!B15</f>
        <v>266</v>
      </c>
      <c r="F2" s="128"/>
      <c r="G2" s="128">
        <f>E2-(0.15*I2)</f>
        <v>161.04649999999998</v>
      </c>
      <c r="H2" s="128">
        <f>E2-(0.05*I2)</f>
        <v>231.0155</v>
      </c>
      <c r="I2" s="129">
        <f>L2*5.62</f>
        <v>699.69</v>
      </c>
      <c r="J2" s="128">
        <f>'NO3'!K5</f>
        <v>19.819493999999995</v>
      </c>
      <c r="K2" s="128">
        <f>'N fertilizer'!B28</f>
        <v>124.5</v>
      </c>
      <c r="L2" s="128">
        <v>124.5</v>
      </c>
      <c r="M2" s="129">
        <f>'N2O calculations'!A31/2</f>
        <v>4.2207698562857141</v>
      </c>
      <c r="N2" s="101">
        <f>'Data for yield stability'!H23</f>
        <v>0.29044476922494544</v>
      </c>
      <c r="O2" s="128">
        <f>'Protein &amp; Energy Output'!B14</f>
        <v>545.22</v>
      </c>
      <c r="P2" s="128">
        <f>'Protein &amp; Energy Output'!B19</f>
        <v>97.400999999999982</v>
      </c>
      <c r="Q2" s="108">
        <f>'Crop Diversity'!E16</f>
        <v>0</v>
      </c>
    </row>
    <row r="3" spans="1:17" x14ac:dyDescent="0.25">
      <c r="A3" s="5" t="s">
        <v>223</v>
      </c>
      <c r="B3" s="5" t="s">
        <v>123</v>
      </c>
      <c r="C3" s="5" t="s">
        <v>222</v>
      </c>
      <c r="D3" s="5" t="s">
        <v>224</v>
      </c>
      <c r="E3" s="128">
        <f>GM!I15</f>
        <v>256.16666666666669</v>
      </c>
      <c r="F3" s="128"/>
      <c r="G3" s="128">
        <f>E3-(0.15*I3)</f>
        <v>189.99116666666669</v>
      </c>
      <c r="H3" s="128">
        <f>E3-(0.05*I3)</f>
        <v>234.10816666666668</v>
      </c>
      <c r="I3" s="129">
        <f>L3*5.62</f>
        <v>441.17</v>
      </c>
      <c r="J3" s="128">
        <f>'NO3'!K10</f>
        <v>18.181368722483061</v>
      </c>
      <c r="K3" s="128">
        <f>'N fertilizer'!I28</f>
        <v>78.5</v>
      </c>
      <c r="L3" s="128">
        <v>78.5</v>
      </c>
      <c r="M3" s="129">
        <f>'N2O calculations'!H31/3</f>
        <v>2.911157882202922</v>
      </c>
      <c r="N3" s="101">
        <f>'Data for yield stability'!H24</f>
        <v>0.29070226596323151</v>
      </c>
      <c r="O3" s="128">
        <f>'Protein &amp; Energy Output'!F14</f>
        <v>615.31999999999994</v>
      </c>
      <c r="P3" s="128">
        <f>'Protein &amp; Energy Output'!F19</f>
        <v>81.962833333333336</v>
      </c>
      <c r="Q3" s="108">
        <f>'Crop Diversity'!E22</f>
        <v>0.63417863571220567</v>
      </c>
    </row>
    <row r="4" spans="1:17" x14ac:dyDescent="0.25">
      <c r="E4" s="128"/>
      <c r="F4" s="128"/>
      <c r="G4" s="128"/>
      <c r="H4" s="128"/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" sqref="A2"/>
    </sheetView>
  </sheetViews>
  <sheetFormatPr baseColWidth="10" defaultColWidth="11.42578125" defaultRowHeight="15" x14ac:dyDescent="0.25"/>
  <cols>
    <col min="1" max="16384" width="11.42578125" style="5"/>
  </cols>
  <sheetData>
    <row r="1" spans="1:6" x14ac:dyDescent="0.25">
      <c r="C1" s="5" t="s">
        <v>218</v>
      </c>
      <c r="D1" s="5" t="s">
        <v>219</v>
      </c>
      <c r="E1" s="5" t="s">
        <v>220</v>
      </c>
    </row>
    <row r="2" spans="1:6" x14ac:dyDescent="0.25">
      <c r="A2" s="5" t="s">
        <v>221</v>
      </c>
      <c r="C2" s="5" t="s">
        <v>123</v>
      </c>
      <c r="D2" s="5" t="s">
        <v>222</v>
      </c>
    </row>
    <row r="3" spans="1:6" x14ac:dyDescent="0.25">
      <c r="A3" s="5" t="s">
        <v>223</v>
      </c>
      <c r="C3" s="5" t="s">
        <v>123</v>
      </c>
      <c r="D3" s="5" t="s">
        <v>222</v>
      </c>
      <c r="E3" s="5" t="s">
        <v>224</v>
      </c>
    </row>
    <row r="7" spans="1:6" ht="18" x14ac:dyDescent="0.35">
      <c r="A7" s="5" t="s">
        <v>227</v>
      </c>
      <c r="C7" s="5" t="s">
        <v>228</v>
      </c>
      <c r="E7" s="5" t="s">
        <v>229</v>
      </c>
      <c r="F7" s="5">
        <f>LN(3)</f>
        <v>1.0986122886681098</v>
      </c>
    </row>
    <row r="11" spans="1:6" ht="18" x14ac:dyDescent="0.35">
      <c r="A11" s="5" t="s">
        <v>230</v>
      </c>
      <c r="B11" s="5" t="s">
        <v>231</v>
      </c>
      <c r="C11" s="5" t="s">
        <v>232</v>
      </c>
      <c r="D11" s="5" t="s">
        <v>233</v>
      </c>
      <c r="E11" s="5" t="s">
        <v>234</v>
      </c>
    </row>
    <row r="12" spans="1:6" x14ac:dyDescent="0.25">
      <c r="A12" s="5" t="s">
        <v>235</v>
      </c>
    </row>
    <row r="13" spans="1:6" x14ac:dyDescent="0.25">
      <c r="A13" s="5" t="s">
        <v>236</v>
      </c>
      <c r="B13" s="101">
        <v>1</v>
      </c>
      <c r="C13" s="5">
        <v>1</v>
      </c>
      <c r="D13" s="5">
        <f>LN(C13)</f>
        <v>0</v>
      </c>
      <c r="E13" s="5">
        <f>C13*D13</f>
        <v>0</v>
      </c>
    </row>
    <row r="14" spans="1:6" x14ac:dyDescent="0.25">
      <c r="A14" s="5" t="s">
        <v>237</v>
      </c>
      <c r="B14" s="101"/>
      <c r="C14" s="5">
        <v>0</v>
      </c>
      <c r="E14" s="5">
        <f>C14*D14</f>
        <v>0</v>
      </c>
    </row>
    <row r="15" spans="1:6" x14ac:dyDescent="0.25">
      <c r="A15" s="5" t="s">
        <v>238</v>
      </c>
    </row>
    <row r="16" spans="1:6" x14ac:dyDescent="0.25">
      <c r="E16" s="5">
        <f>-(E13+E14+E15)</f>
        <v>0</v>
      </c>
    </row>
    <row r="18" spans="1:5" x14ac:dyDescent="0.25">
      <c r="A18" s="5" t="s">
        <v>239</v>
      </c>
    </row>
    <row r="19" spans="1:5" x14ac:dyDescent="0.25">
      <c r="A19" s="5" t="s">
        <v>236</v>
      </c>
      <c r="B19" s="101">
        <f>2/3</f>
        <v>0.66666666666666663</v>
      </c>
      <c r="C19" s="5">
        <v>0.67</v>
      </c>
      <c r="D19" s="5">
        <f>LN(C19)</f>
        <v>-0.40047756659712525</v>
      </c>
      <c r="E19" s="5">
        <f>C19*D19</f>
        <v>-0.26831996962007393</v>
      </c>
    </row>
    <row r="20" spans="1:5" x14ac:dyDescent="0.25">
      <c r="A20" s="5" t="s">
        <v>237</v>
      </c>
      <c r="B20" s="101"/>
    </row>
    <row r="21" spans="1:5" x14ac:dyDescent="0.25">
      <c r="A21" s="5" t="s">
        <v>238</v>
      </c>
      <c r="B21" s="101">
        <f>1/3</f>
        <v>0.33333333333333331</v>
      </c>
      <c r="C21" s="5">
        <v>0.33</v>
      </c>
      <c r="D21" s="5">
        <f>LN(C21)</f>
        <v>-1.1086626245216111</v>
      </c>
      <c r="E21" s="5">
        <f>C21*D21</f>
        <v>-0.36585866609213169</v>
      </c>
    </row>
    <row r="22" spans="1:5" x14ac:dyDescent="0.25">
      <c r="E22" s="5">
        <f>-(E19+E20+E21)</f>
        <v>0.63417863571220567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6" sqref="K6"/>
    </sheetView>
  </sheetViews>
  <sheetFormatPr baseColWidth="10" defaultColWidth="10.85546875" defaultRowHeight="15" x14ac:dyDescent="0.25"/>
  <cols>
    <col min="1" max="1" width="16.5703125" bestFit="1" customWidth="1"/>
    <col min="3" max="3" width="19.7109375" customWidth="1"/>
    <col min="8" max="8" width="16.28515625" bestFit="1" customWidth="1"/>
    <col min="10" max="10" width="19" bestFit="1" customWidth="1"/>
    <col min="11" max="11" width="17.28515625" bestFit="1" customWidth="1"/>
  </cols>
  <sheetData>
    <row r="1" spans="1:11" x14ac:dyDescent="0.25">
      <c r="A1" s="6"/>
      <c r="B1" s="130" t="s">
        <v>338</v>
      </c>
      <c r="C1" s="130" t="s">
        <v>339</v>
      </c>
      <c r="D1" s="130" t="s">
        <v>340</v>
      </c>
      <c r="E1" s="130" t="s">
        <v>341</v>
      </c>
      <c r="F1" s="130" t="s">
        <v>342</v>
      </c>
      <c r="G1" s="130" t="s">
        <v>343</v>
      </c>
      <c r="H1" s="130" t="s">
        <v>344</v>
      </c>
      <c r="I1" s="130" t="s">
        <v>392</v>
      </c>
      <c r="J1" s="130" t="s">
        <v>346</v>
      </c>
      <c r="K1" s="130" t="s">
        <v>345</v>
      </c>
    </row>
    <row r="2" spans="1:11" x14ac:dyDescent="0.25">
      <c r="A2" s="6" t="s">
        <v>235</v>
      </c>
      <c r="B2" s="6"/>
      <c r="C2" s="6"/>
      <c r="D2" s="6"/>
      <c r="E2" s="6"/>
      <c r="F2" s="6"/>
      <c r="G2" s="6"/>
      <c r="H2" s="6"/>
      <c r="J2" s="6"/>
      <c r="K2" s="6"/>
    </row>
    <row r="3" spans="1:11" x14ac:dyDescent="0.25">
      <c r="A3" s="5" t="s">
        <v>123</v>
      </c>
      <c r="B3">
        <v>6</v>
      </c>
      <c r="C3" s="137">
        <v>148.5</v>
      </c>
      <c r="E3" s="137">
        <v>150.9768</v>
      </c>
      <c r="F3" s="137">
        <v>54.321428571428598</v>
      </c>
      <c r="G3" s="137">
        <v>136.22399999999999</v>
      </c>
      <c r="H3" s="137">
        <v>66.597428571428594</v>
      </c>
      <c r="I3" s="138">
        <v>0</v>
      </c>
      <c r="J3" s="136">
        <v>0.51800000000000002</v>
      </c>
      <c r="K3" s="137">
        <v>34.497467999999998</v>
      </c>
    </row>
    <row r="4" spans="1:11" x14ac:dyDescent="0.25">
      <c r="A4" s="5" t="s">
        <v>222</v>
      </c>
      <c r="B4">
        <v>6</v>
      </c>
      <c r="C4" s="137">
        <v>100.5</v>
      </c>
      <c r="E4" s="137">
        <v>103.5702</v>
      </c>
      <c r="F4" s="137">
        <v>41.785714285714299</v>
      </c>
      <c r="G4" s="137">
        <v>132.36000000000001</v>
      </c>
      <c r="H4" s="137">
        <v>9.9257142857142604</v>
      </c>
      <c r="I4" s="138">
        <v>0</v>
      </c>
      <c r="J4" s="136">
        <v>0.51800000000000002</v>
      </c>
      <c r="K4" s="137">
        <v>5.1415199999999901</v>
      </c>
    </row>
    <row r="5" spans="1:11" x14ac:dyDescent="0.25">
      <c r="C5" s="128"/>
      <c r="E5" s="128"/>
      <c r="F5" s="128"/>
      <c r="G5" s="128"/>
      <c r="H5" s="128"/>
      <c r="I5" s="128"/>
      <c r="J5" s="131"/>
      <c r="K5" s="128">
        <f>AVERAGE(K3:K4)</f>
        <v>19.819493999999995</v>
      </c>
    </row>
    <row r="6" spans="1:11" x14ac:dyDescent="0.25">
      <c r="A6" s="6" t="s">
        <v>239</v>
      </c>
      <c r="C6" s="128"/>
      <c r="E6" s="128"/>
      <c r="F6" s="128"/>
      <c r="G6" s="128"/>
      <c r="H6" s="128"/>
      <c r="I6" s="128"/>
      <c r="K6" s="128"/>
    </row>
    <row r="7" spans="1:11" x14ac:dyDescent="0.25">
      <c r="A7" s="5" t="s">
        <v>123</v>
      </c>
      <c r="B7">
        <v>6.5</v>
      </c>
      <c r="C7" s="137">
        <v>135</v>
      </c>
      <c r="E7" s="137">
        <v>137.4768</v>
      </c>
      <c r="F7" s="137">
        <v>70.617857142857105</v>
      </c>
      <c r="G7" s="137">
        <v>147.57599999999999</v>
      </c>
      <c r="H7" s="137">
        <v>58.041857142857097</v>
      </c>
      <c r="I7" s="138">
        <v>0</v>
      </c>
      <c r="J7" s="136">
        <v>0.51800000000000002</v>
      </c>
      <c r="K7" s="137">
        <v>30.065681999999999</v>
      </c>
    </row>
    <row r="8" spans="1:11" x14ac:dyDescent="0.25">
      <c r="A8" s="5" t="s">
        <v>222</v>
      </c>
      <c r="B8">
        <v>6</v>
      </c>
      <c r="C8" s="137">
        <v>100.5</v>
      </c>
      <c r="D8" s="5"/>
      <c r="E8" s="137">
        <v>103.5702</v>
      </c>
      <c r="F8" s="137">
        <v>41.785714285714299</v>
      </c>
      <c r="G8" s="137">
        <v>132.36000000000001</v>
      </c>
      <c r="H8" s="137">
        <v>9.9257142857142604</v>
      </c>
      <c r="I8" s="139">
        <v>0</v>
      </c>
      <c r="J8" s="136">
        <v>0.51800000000000002</v>
      </c>
      <c r="K8" s="137">
        <v>5.1415199999999901</v>
      </c>
    </row>
    <row r="9" spans="1:11" x14ac:dyDescent="0.25">
      <c r="A9" s="5" t="s">
        <v>224</v>
      </c>
      <c r="B9">
        <v>2</v>
      </c>
      <c r="C9" s="137">
        <v>0</v>
      </c>
      <c r="E9" s="137">
        <v>121.358899345976</v>
      </c>
      <c r="F9" s="137">
        <v>50.142857142857103</v>
      </c>
      <c r="G9" s="137">
        <v>12.812926317665699</v>
      </c>
      <c r="H9" s="137">
        <v>37.329930825191497</v>
      </c>
      <c r="I9" s="137">
        <v>110.37239934597601</v>
      </c>
      <c r="J9" s="136">
        <v>0.51800000000000002</v>
      </c>
      <c r="K9" s="137">
        <v>19.336904167449202</v>
      </c>
    </row>
    <row r="10" spans="1:11" x14ac:dyDescent="0.25">
      <c r="C10" s="128"/>
      <c r="J10" s="5"/>
      <c r="K10" s="128">
        <f>AVERAGE(K7:K9)</f>
        <v>18.181368722483061</v>
      </c>
    </row>
    <row r="11" spans="1:11" x14ac:dyDescent="0.25">
      <c r="K11" s="128"/>
    </row>
    <row r="12" spans="1:11" x14ac:dyDescent="0.25">
      <c r="K12" s="128"/>
    </row>
    <row r="13" spans="1:11" x14ac:dyDescent="0.25">
      <c r="K13" s="128"/>
    </row>
    <row r="14" spans="1:11" x14ac:dyDescent="0.25">
      <c r="A14" s="6" t="s">
        <v>394</v>
      </c>
      <c r="B14" s="5"/>
      <c r="C14" s="5"/>
      <c r="D14" s="5"/>
      <c r="E14" s="5"/>
      <c r="F14" s="5"/>
      <c r="G14" s="5"/>
      <c r="H14" s="5"/>
    </row>
    <row r="15" spans="1:11" x14ac:dyDescent="0.25">
      <c r="A15" s="5"/>
      <c r="B15" s="5"/>
      <c r="C15" s="5"/>
      <c r="D15" s="5"/>
      <c r="E15" s="5"/>
      <c r="F15" s="5"/>
      <c r="G15" s="5"/>
      <c r="H15" s="5"/>
    </row>
    <row r="16" spans="1:11" x14ac:dyDescent="0.25">
      <c r="A16" s="5" t="s">
        <v>395</v>
      </c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 t="s">
        <v>396</v>
      </c>
      <c r="B18" s="5"/>
      <c r="C18" s="5"/>
      <c r="D18" s="11" t="s">
        <v>397</v>
      </c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 t="s">
        <v>398</v>
      </c>
      <c r="B20" s="5"/>
      <c r="C20" s="5"/>
      <c r="D20" s="11" t="s">
        <v>399</v>
      </c>
      <c r="E20" s="5"/>
      <c r="F20" s="5"/>
      <c r="G20" s="5"/>
      <c r="H20" s="5"/>
    </row>
    <row r="21" spans="1:8" x14ac:dyDescent="0.25">
      <c r="A21" s="5"/>
      <c r="B21" s="5"/>
      <c r="C21" s="5"/>
      <c r="D21" s="5"/>
      <c r="E21" s="5"/>
      <c r="F21" s="5"/>
      <c r="G21" s="5"/>
      <c r="H21" s="5"/>
    </row>
    <row r="22" spans="1:8" x14ac:dyDescent="0.25">
      <c r="A22" s="5" t="s">
        <v>400</v>
      </c>
      <c r="B22" s="5"/>
      <c r="C22" s="5"/>
      <c r="D22" s="5"/>
      <c r="E22" s="5"/>
      <c r="F22" s="5"/>
      <c r="G22" s="5"/>
      <c r="H22" s="5"/>
    </row>
    <row r="23" spans="1:8" x14ac:dyDescent="0.25">
      <c r="A23" s="5" t="s">
        <v>401</v>
      </c>
      <c r="B23" s="5"/>
      <c r="C23" s="5"/>
      <c r="D23" s="11" t="s">
        <v>402</v>
      </c>
      <c r="E23" s="5"/>
      <c r="F23" s="5"/>
      <c r="G23" s="5"/>
      <c r="H23" s="5"/>
    </row>
    <row r="24" spans="1:8" x14ac:dyDescent="0.25">
      <c r="A24" s="141"/>
      <c r="B24" s="142"/>
      <c r="C24" s="142"/>
      <c r="D24" s="142"/>
      <c r="E24" s="142"/>
      <c r="F24" s="5"/>
      <c r="G24" s="5"/>
      <c r="H24" s="5"/>
    </row>
    <row r="25" spans="1:8" x14ac:dyDescent="0.25">
      <c r="A25" s="5" t="s">
        <v>403</v>
      </c>
      <c r="B25" s="5"/>
      <c r="C25" s="5"/>
      <c r="D25" s="5"/>
      <c r="E25" s="5"/>
      <c r="F25" s="5"/>
      <c r="G25" s="5"/>
      <c r="H25" s="5"/>
    </row>
    <row r="26" spans="1:8" x14ac:dyDescent="0.25">
      <c r="A26" s="5"/>
      <c r="B26" s="5"/>
      <c r="C26" s="5"/>
      <c r="D26" s="5"/>
      <c r="E26" s="5"/>
      <c r="F26" s="5"/>
      <c r="G26" s="5"/>
      <c r="H26" s="5"/>
    </row>
    <row r="27" spans="1:8" x14ac:dyDescent="0.25">
      <c r="A27" s="5"/>
      <c r="B27" s="5"/>
      <c r="C27" s="5"/>
      <c r="D27" s="5"/>
      <c r="E27" s="5"/>
      <c r="F27" s="5"/>
      <c r="G27" s="5"/>
      <c r="H27" s="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R22" sqref="R22"/>
    </sheetView>
  </sheetViews>
  <sheetFormatPr baseColWidth="10" defaultColWidth="9.140625" defaultRowHeight="15" x14ac:dyDescent="0.25"/>
  <cols>
    <col min="1" max="2" width="9.140625" style="5"/>
    <col min="3" max="3" width="13.7109375" style="5" bestFit="1" customWidth="1"/>
    <col min="4" max="16384" width="9.140625" style="5"/>
  </cols>
  <sheetData>
    <row r="1" spans="1:20" x14ac:dyDescent="0.25">
      <c r="A1" s="5">
        <f>'N fertilizer'!A1</f>
        <v>0</v>
      </c>
      <c r="B1" s="5" t="str">
        <f>'N fertilizer'!B1</f>
        <v>Crop 1</v>
      </c>
      <c r="C1" s="5" t="str">
        <f>'N fertilizer'!C1</f>
        <v>Crop 2</v>
      </c>
      <c r="D1" s="5" t="str">
        <f>'N fertilizer'!D1</f>
        <v>Crop 3</v>
      </c>
    </row>
    <row r="2" spans="1:20" x14ac:dyDescent="0.25">
      <c r="A2" s="5" t="str">
        <f>'N fertilizer'!A2</f>
        <v>Without Legumes:</v>
      </c>
      <c r="B2" s="5" t="str">
        <f>'N fertilizer'!B2</f>
        <v>Corn</v>
      </c>
      <c r="C2" s="5" t="str">
        <f>'N fertilizer'!C2</f>
        <v xml:space="preserve">Winter wheat </v>
      </c>
      <c r="D2" s="5">
        <f>'N fertilizer'!D2</f>
        <v>0</v>
      </c>
    </row>
    <row r="3" spans="1:20" x14ac:dyDescent="0.25">
      <c r="A3" s="5" t="str">
        <f>'N fertilizer'!A3</f>
        <v>With Legumes:</v>
      </c>
      <c r="B3" s="5" t="str">
        <f>'N fertilizer'!B3</f>
        <v>Corn</v>
      </c>
      <c r="C3" s="5" t="str">
        <f>'N fertilizer'!C3</f>
        <v xml:space="preserve">Winter wheat </v>
      </c>
      <c r="D3" s="5" t="str">
        <f>'N fertilizer'!D3</f>
        <v>Soybean</v>
      </c>
    </row>
    <row r="4" spans="1:20" x14ac:dyDescent="0.25">
      <c r="A4" s="5">
        <f>'N fertilizer'!A4</f>
        <v>0</v>
      </c>
      <c r="B4" s="5">
        <f>'N fertilizer'!B4</f>
        <v>0</v>
      </c>
      <c r="C4" s="5">
        <f>'N fertilizer'!C4</f>
        <v>0</v>
      </c>
      <c r="D4" s="5">
        <f>'N fertilizer'!D4</f>
        <v>0</v>
      </c>
    </row>
    <row r="6" spans="1:20" x14ac:dyDescent="0.25">
      <c r="A6" s="114" t="s">
        <v>276</v>
      </c>
      <c r="B6" s="5" t="s">
        <v>277</v>
      </c>
    </row>
    <row r="7" spans="1:20" x14ac:dyDescent="0.25">
      <c r="B7" s="19" t="str">
        <f>'N fertilizer'!B7</f>
        <v>Corn</v>
      </c>
      <c r="C7" s="19" t="str">
        <f>'N fertilizer'!C7</f>
        <v>Winter wheat</v>
      </c>
      <c r="D7" s="19"/>
      <c r="E7" s="19"/>
      <c r="F7" s="19"/>
      <c r="G7" s="19"/>
      <c r="I7" s="19" t="str">
        <f>'N fertilizer'!I7</f>
        <v>Corn</v>
      </c>
      <c r="J7" s="19" t="str">
        <f>'N fertilizer'!J7</f>
        <v>Winter wheat</v>
      </c>
      <c r="K7" s="19" t="str">
        <f>'N fertilizer'!K7</f>
        <v>Soybean</v>
      </c>
      <c r="L7" s="19"/>
      <c r="M7" s="19"/>
      <c r="N7" s="19"/>
      <c r="P7" s="19"/>
      <c r="Q7" s="19"/>
      <c r="R7" s="19"/>
      <c r="S7" s="19"/>
      <c r="T7" s="19"/>
    </row>
    <row r="8" spans="1:20" x14ac:dyDescent="0.25">
      <c r="A8" s="19"/>
      <c r="B8" s="115">
        <f>VLOOKUP(B7,'Mapping crops'!$A:$B,2,FALSE)</f>
        <v>7</v>
      </c>
      <c r="C8" s="115">
        <f>VLOOKUP(C7,'Mapping crops'!$A:$B,2,FALSE)</f>
        <v>3</v>
      </c>
      <c r="D8" s="115"/>
      <c r="E8" s="115"/>
      <c r="F8" s="115"/>
      <c r="G8" s="6"/>
      <c r="H8" s="115"/>
      <c r="I8" s="115">
        <f>VLOOKUP(I7,'Mapping crops'!$A:$B,2,FALSE)</f>
        <v>7</v>
      </c>
      <c r="J8" s="115">
        <f>VLOOKUP(J7,'Mapping crops'!$A:$B,2,FALSE)</f>
        <v>3</v>
      </c>
      <c r="K8" s="115">
        <f>VLOOKUP(K7,'Mapping crops'!$A:$B,2,FALSE)</f>
        <v>13</v>
      </c>
      <c r="L8" s="115"/>
      <c r="M8" s="115"/>
      <c r="N8" s="115"/>
      <c r="O8" s="115"/>
      <c r="P8" s="115"/>
      <c r="Q8" s="115"/>
      <c r="R8" s="115"/>
      <c r="S8" s="115"/>
      <c r="T8" s="115"/>
    </row>
    <row r="9" spans="1:20" x14ac:dyDescent="0.25">
      <c r="A9" s="116" t="s">
        <v>278</v>
      </c>
      <c r="B9" s="5">
        <f>IF(ISBLANK('N fertilizer'!B10),0,VLOOKUP('N fertilizer'!B10,'N2O default values'!$I:$J,2,FALSE)*'N fertilizer'!B13)</f>
        <v>4.05</v>
      </c>
      <c r="C9" s="5">
        <f>IF(ISBLANK('N fertilizer'!C10),0,VLOOKUP('N fertilizer'!C10,'N2O default values'!$I:$J,2,FALSE)*'N fertilizer'!C13)</f>
        <v>3</v>
      </c>
      <c r="I9" s="5">
        <f>IF(ISBLANK('N fertilizer'!I10),0,VLOOKUP('N fertilizer'!I10,'N2O default values'!$I:$J,2,FALSE)*'N fertilizer'!I13)</f>
        <v>4.05</v>
      </c>
      <c r="J9" s="5">
        <f>IF(ISBLANK('N fertilizer'!J10),0,VLOOKUP('N fertilizer'!J10,'N2O default values'!$I:$J,2,FALSE)*'N fertilizer'!J13)</f>
        <v>3</v>
      </c>
      <c r="K9" s="5">
        <f>IF(ISBLANK('N fertilizer'!K10),0,VLOOKUP('N fertilizer'!K10,'N2O default values'!$I:$J,2,FALSE)*'N fertilizer'!K13)</f>
        <v>0</v>
      </c>
    </row>
    <row r="10" spans="1:20" x14ac:dyDescent="0.25">
      <c r="A10" s="116" t="s">
        <v>278</v>
      </c>
      <c r="B10" s="5">
        <f>IF(ISBLANK('N fertilizer'!B15),0,VLOOKUP('N fertilizer'!B15,'N2O default values'!$I:$J,2,FALSE)*'N fertilizer'!B18)</f>
        <v>7.4249999999999998</v>
      </c>
      <c r="C10" s="5">
        <f>IF(ISBLANK('N fertilizer'!C15),0,VLOOKUP('N fertilizer'!C15,'N2O default values'!$I:$J,2,FALSE)*'N fertilizer'!C18)</f>
        <v>4.4550000000000001</v>
      </c>
      <c r="I10" s="5">
        <f>IF(ISBLANK('N fertilizer'!I15),0,VLOOKUP('N fertilizer'!I15,'N2O default values'!$I:$J,2,FALSE)*'N fertilizer'!I18)</f>
        <v>5.94</v>
      </c>
      <c r="J10" s="5">
        <f>IF(ISBLANK('N fertilizer'!J15),0,VLOOKUP('N fertilizer'!J15,'N2O default values'!$I:$J,2,FALSE)*'N fertilizer'!J18)</f>
        <v>4.4550000000000001</v>
      </c>
      <c r="K10" s="5">
        <f>IF(ISBLANK('N fertilizer'!K15),0,VLOOKUP('N fertilizer'!K15,'N2O default values'!$I:$J,2,FALSE)*'N fertilizer'!K18)</f>
        <v>0</v>
      </c>
    </row>
    <row r="11" spans="1:20" x14ac:dyDescent="0.25">
      <c r="A11" s="116" t="s">
        <v>278</v>
      </c>
      <c r="B11" s="5">
        <f>IF(ISBLANK('N fertilizer'!B20),0,VLOOKUP('N fertilizer'!B20,'N2O default values'!$I:$J,2,FALSE)*'N fertilizer'!B23)</f>
        <v>0</v>
      </c>
      <c r="C11" s="5">
        <f>IF(ISBLANK('N fertilizer'!C20),0,VLOOKUP('N fertilizer'!C20,'N2O default values'!$I:$J,2,FALSE)*'N fertilizer'!C23)</f>
        <v>0</v>
      </c>
      <c r="I11" s="5">
        <f>IF(ISBLANK('N fertilizer'!I20),0,VLOOKUP('N fertilizer'!I20,'N2O default values'!$I:$J,2,FALSE)*'N fertilizer'!I23)</f>
        <v>0</v>
      </c>
      <c r="J11" s="5">
        <f>IF(ISBLANK('N fertilizer'!J20),0,VLOOKUP('N fertilizer'!J20,'N2O default values'!$I:$J,2,FALSE)*'N fertilizer'!J23)</f>
        <v>0</v>
      </c>
      <c r="K11" s="5">
        <f>IF(ISBLANK('N fertilizer'!K20),0,VLOOKUP('N fertilizer'!K20,'N2O default values'!$I:$J,2,FALSE)*'N fertilizer'!K23)</f>
        <v>0</v>
      </c>
    </row>
    <row r="12" spans="1:20" x14ac:dyDescent="0.25">
      <c r="A12" s="116" t="s">
        <v>279</v>
      </c>
      <c r="B12" s="137">
        <v>34.497467999999998</v>
      </c>
      <c r="C12" s="137">
        <v>5.1415199999999901</v>
      </c>
      <c r="I12" s="137">
        <v>30.065681999999999</v>
      </c>
      <c r="J12" s="137">
        <v>5.1415199999999901</v>
      </c>
      <c r="K12" s="137">
        <v>19.336904167449202</v>
      </c>
    </row>
    <row r="13" spans="1:20" x14ac:dyDescent="0.25">
      <c r="A13" s="116" t="s">
        <v>280</v>
      </c>
    </row>
    <row r="14" spans="1:20" x14ac:dyDescent="0.25">
      <c r="A14" s="116" t="s">
        <v>226</v>
      </c>
      <c r="B14" s="5">
        <f>GM!B$8*VLOOKUP(B8,'N2O default values'!$M:$U,7)</f>
        <v>5.22</v>
      </c>
      <c r="C14" s="5">
        <f>GM!C$8*VLOOKUP(C8,'N2O default values'!$M:$U,7)</f>
        <v>5.34</v>
      </c>
      <c r="I14" s="5">
        <f>GM!I$8*VLOOKUP(I8,'N2O default values'!$M:$U,7)</f>
        <v>5.6550000000000002</v>
      </c>
      <c r="J14" s="5">
        <f>GM!J$8*VLOOKUP(J8,'N2O default values'!$M:$U,7)</f>
        <v>5.34</v>
      </c>
      <c r="K14" s="5">
        <f>GM!K$8*VLOOKUP(K8,'N2O default values'!$M:$U,7)</f>
        <v>1.82</v>
      </c>
    </row>
    <row r="15" spans="1:20" x14ac:dyDescent="0.25">
      <c r="A15" s="116" t="s">
        <v>281</v>
      </c>
      <c r="B15" s="5">
        <f>B14*VLOOKUP(B$8,'N2O default values'!$M:$U,5)*VLOOKUP(B$8,'N2O default values'!$M:$U,8)</f>
        <v>5.22</v>
      </c>
      <c r="C15" s="5">
        <f>C14*VLOOKUP(C$8,'N2O default values'!$M:$U,5)*VLOOKUP(C$8,'N2O default values'!$M:$U,8)</f>
        <v>6.9420000000000002</v>
      </c>
      <c r="I15" s="5">
        <f>I14*VLOOKUP(I$8,'N2O default values'!$M:$U,5)*VLOOKUP(I$8,'N2O default values'!$M:$U,8)</f>
        <v>5.6550000000000002</v>
      </c>
      <c r="J15" s="5">
        <f>J14*VLOOKUP(J$8,'N2O default values'!$M:$U,5)*VLOOKUP(J$8,'N2O default values'!$M:$U,8)</f>
        <v>6.9420000000000002</v>
      </c>
      <c r="K15" s="5">
        <f>K14*VLOOKUP(K$8,'N2O default values'!$M:$U,5)*VLOOKUP(K$8,'N2O default values'!$M:$U,8)</f>
        <v>3.8220000000000005</v>
      </c>
    </row>
    <row r="16" spans="1:20" x14ac:dyDescent="0.25">
      <c r="A16" s="116" t="s">
        <v>282</v>
      </c>
      <c r="B16" s="5">
        <f>SUM(B14:B15)*VLOOKUP(B$8,'N2O default values'!$M:$U,6)</f>
        <v>2.2967999999999997</v>
      </c>
      <c r="C16" s="5">
        <f>SUM(C14:C15)*VLOOKUP(C$8,'N2O default values'!$M:$U,6)</f>
        <v>2.8248600000000001</v>
      </c>
      <c r="I16" s="5">
        <f>SUM(I14:I15)*VLOOKUP(I$8,'N2O default values'!$M:$U,6)</f>
        <v>2.4882</v>
      </c>
      <c r="J16" s="5">
        <f>SUM(J14:J15)*VLOOKUP(J$8,'N2O default values'!$M:$U,6)</f>
        <v>2.8248600000000001</v>
      </c>
      <c r="K16" s="5">
        <f>SUM(K14:K15)*VLOOKUP(K$8,'N2O default values'!$M:$U,6)</f>
        <v>1.0719800000000002</v>
      </c>
    </row>
    <row r="17" spans="1:20" x14ac:dyDescent="0.25">
      <c r="A17" s="116" t="s">
        <v>283</v>
      </c>
      <c r="B17" s="5">
        <f>(B15-GM!B11*VLOOKUP('N2O calculations'!B$8,'N2O default values'!$M:$U,9))*VLOOKUP('N2O calculations'!B$8,'N2O default values'!$M:$U,3)*1000</f>
        <v>31.32</v>
      </c>
      <c r="C17" s="5">
        <f>(C15-GM!C11*VLOOKUP('N2O calculations'!C$8,'N2O default values'!$M:$U,9))*VLOOKUP('N2O calculations'!C$8,'N2O default values'!$M:$U,3)*1000</f>
        <v>41.652000000000001</v>
      </c>
      <c r="I17" s="5">
        <f>(I15-GM!I11*VLOOKUP('N2O calculations'!I$8,'N2O default values'!$M:$U,9))*VLOOKUP('N2O calculations'!I$8,'N2O default values'!$M:$U,3)*1000</f>
        <v>33.93</v>
      </c>
      <c r="J17" s="5">
        <f>(J15-GM!J11*VLOOKUP('N2O calculations'!J$8,'N2O default values'!$M:$U,9))*VLOOKUP('N2O calculations'!J$8,'N2O default values'!$M:$U,3)*1000</f>
        <v>41.652000000000001</v>
      </c>
      <c r="K17" s="5">
        <f>(K15-GM!K11*VLOOKUP('N2O calculations'!K$8,'N2O default values'!$M:$U,9))*VLOOKUP('N2O calculations'!K$8,'N2O default values'!$M:$U,3)*1000</f>
        <v>30.576000000000008</v>
      </c>
    </row>
    <row r="18" spans="1:20" x14ac:dyDescent="0.25">
      <c r="A18" s="116" t="s">
        <v>284</v>
      </c>
      <c r="B18" s="5">
        <f>B16*VLOOKUP(B$8,'N2O default values'!$M:$U,4)*1000</f>
        <v>16.077599999999997</v>
      </c>
      <c r="C18" s="5">
        <f>C16*VLOOKUP(C$8,'N2O default values'!$M:$U,4)*1000</f>
        <v>25.423739999999999</v>
      </c>
      <c r="I18" s="5">
        <f>I16*VLOOKUP(I$8,'N2O default values'!$M:$U,4)*1000</f>
        <v>17.417400000000001</v>
      </c>
      <c r="J18" s="5">
        <f>J16*VLOOKUP(J$8,'N2O default values'!$M:$U,4)*1000</f>
        <v>25.423739999999999</v>
      </c>
      <c r="K18" s="5">
        <f>K16*VLOOKUP(K$8,'N2O default values'!$M:$U,4)*1000</f>
        <v>8.5758400000000012</v>
      </c>
    </row>
    <row r="19" spans="1:20" x14ac:dyDescent="0.25">
      <c r="A19" s="116" t="s">
        <v>285</v>
      </c>
      <c r="B19" s="5">
        <f>SUM(B17:B18)</f>
        <v>47.397599999999997</v>
      </c>
      <c r="C19" s="5">
        <f t="shared" ref="C19" si="0">SUM(C17:C18)</f>
        <v>67.075739999999996</v>
      </c>
      <c r="I19" s="5">
        <f>SUM(I17:I18)</f>
        <v>51.3474</v>
      </c>
      <c r="J19" s="5">
        <f t="shared" ref="J19:K19" si="1">SUM(J17:J18)</f>
        <v>67.075739999999996</v>
      </c>
      <c r="K19" s="5">
        <f t="shared" si="1"/>
        <v>39.151840000000007</v>
      </c>
    </row>
    <row r="20" spans="1:20" x14ac:dyDescent="0.25">
      <c r="A20" s="116"/>
    </row>
    <row r="23" spans="1:20" x14ac:dyDescent="0.25">
      <c r="A23" s="5" t="s">
        <v>286</v>
      </c>
    </row>
    <row r="24" spans="1:20" x14ac:dyDescent="0.25">
      <c r="B24" s="19" t="str">
        <f>B7</f>
        <v>Corn</v>
      </c>
      <c r="C24" s="19" t="str">
        <f>C7</f>
        <v>Winter wheat</v>
      </c>
      <c r="D24" s="19"/>
      <c r="E24" s="19"/>
      <c r="F24" s="19"/>
      <c r="G24" s="19"/>
      <c r="I24" s="19" t="str">
        <f>I7</f>
        <v>Corn</v>
      </c>
      <c r="J24" s="19" t="str">
        <f>J7</f>
        <v>Winter wheat</v>
      </c>
      <c r="K24" s="19" t="str">
        <f t="shared" ref="K24" si="2">K7</f>
        <v>Soybean</v>
      </c>
      <c r="L24" s="19"/>
      <c r="M24" s="19"/>
      <c r="N24" s="19"/>
      <c r="P24" s="78"/>
      <c r="Q24" s="78"/>
      <c r="R24" s="78"/>
      <c r="S24" s="78"/>
      <c r="T24" s="19"/>
    </row>
    <row r="25" spans="1:20" x14ac:dyDescent="0.25">
      <c r="A25" s="116" t="s">
        <v>293</v>
      </c>
      <c r="B25" s="5">
        <f>'N fertilizer'!B13*'N2O default values'!$E$2+'N fertilizer'!B18*'N2O default values'!$E$2+'N fertilizer'!B23*'N2O default values'!$E$2</f>
        <v>2.3760000000000003</v>
      </c>
      <c r="C25" s="5">
        <f>'N fertilizer'!C13*'N2O default values'!$E$2+'N fertilizer'!C18*'N2O default values'!$E$2+'N fertilizer'!C23*'N2O default values'!$E$2</f>
        <v>1.6080000000000001</v>
      </c>
      <c r="I25" s="5">
        <f>'N fertilizer'!I13*'N2O default values'!$E$2+'N fertilizer'!I18*'N2O default values'!$E$2+'N fertilizer'!I23*'N2O default values'!$E$2</f>
        <v>2.16</v>
      </c>
      <c r="J25" s="5">
        <f>'N fertilizer'!J13*'N2O default values'!$E$2+'N fertilizer'!J18*'N2O default values'!$E$2+'N fertilizer'!J23*'N2O default values'!$E$2</f>
        <v>1.6080000000000001</v>
      </c>
      <c r="K25" s="5">
        <f>'N fertilizer'!K13*'N2O default values'!$E$2+'N fertilizer'!K18*'N2O default values'!$E$2+'N fertilizer'!K23*'N2O default values'!$E$2</f>
        <v>0</v>
      </c>
    </row>
    <row r="26" spans="1:20" x14ac:dyDescent="0.25">
      <c r="A26" s="5" t="s">
        <v>294</v>
      </c>
      <c r="B26" s="5">
        <f>(SUM(B9:B11)*'N2O default values'!$E$4)</f>
        <v>0.16064999999999999</v>
      </c>
      <c r="C26" s="5">
        <f>(SUM(C9:C11)*'N2O default values'!$E$4)</f>
        <v>0.10437</v>
      </c>
      <c r="I26" s="5">
        <f>(SUM(I9:I11)*'N2O default values'!$E$4)</f>
        <v>0.13986000000000001</v>
      </c>
      <c r="J26" s="5">
        <f>(SUM(J9:J11)*'N2O default values'!$E$4)</f>
        <v>0.10437</v>
      </c>
      <c r="K26" s="5">
        <f>(SUM(K9:K11)*'N2O default values'!$E$4)</f>
        <v>0</v>
      </c>
    </row>
    <row r="27" spans="1:20" x14ac:dyDescent="0.25">
      <c r="A27" s="5" t="s">
        <v>279</v>
      </c>
      <c r="B27" s="5">
        <f>B12*'N2O default values'!$E$5</f>
        <v>0.37947214799999995</v>
      </c>
      <c r="C27" s="5">
        <f>C12*'N2O default values'!$E$5</f>
        <v>5.6556719999999887E-2</v>
      </c>
      <c r="I27" s="5">
        <f>I12*'N2O default values'!$E$5</f>
        <v>0.33072250199999997</v>
      </c>
      <c r="J27" s="5">
        <f>J12*'N2O default values'!$E$5</f>
        <v>5.6556719999999887E-2</v>
      </c>
      <c r="K27" s="5">
        <f>K12*'N2O default values'!$E$5</f>
        <v>0.21270594584194122</v>
      </c>
    </row>
    <row r="28" spans="1:20" x14ac:dyDescent="0.25">
      <c r="A28" s="5" t="s">
        <v>295</v>
      </c>
      <c r="B28" s="5">
        <f>B19*'N2O default values'!$E$3</f>
        <v>0.28438559999999996</v>
      </c>
      <c r="C28" s="5">
        <f>C19*'N2O default values'!$E$3</f>
        <v>0.40245443999999997</v>
      </c>
      <c r="I28" s="5">
        <f>I19*'N2O default values'!$E$3</f>
        <v>0.30808440000000004</v>
      </c>
      <c r="J28" s="5">
        <f>J19*'N2O default values'!$E$3</f>
        <v>0.40245443999999997</v>
      </c>
      <c r="K28" s="5">
        <f>K19*'N2O default values'!$E$3</f>
        <v>0.23491104000000004</v>
      </c>
    </row>
    <row r="30" spans="1:20" x14ac:dyDescent="0.25">
      <c r="A30" s="5" t="s">
        <v>296</v>
      </c>
    </row>
    <row r="31" spans="1:20" x14ac:dyDescent="0.25">
      <c r="A31" s="5">
        <f>SUM(B31:F31)</f>
        <v>8.4415397125714282</v>
      </c>
      <c r="B31" s="5">
        <f>SUM(B25:B28)*'N2O default values'!$G$2</f>
        <v>5.0293693182857142</v>
      </c>
      <c r="C31" s="5">
        <f>SUM(C25:C28)*'N2O default values'!$G$2</f>
        <v>3.4121703942857144</v>
      </c>
      <c r="H31" s="5">
        <f>SUM(I31:M31)</f>
        <v>8.7334736466087666</v>
      </c>
      <c r="I31" s="5">
        <f>SUM(I25:I28)*'N2O default values'!$G$2</f>
        <v>4.6179051317142861</v>
      </c>
      <c r="J31" s="5">
        <f>SUM(J25:J28)*'N2O default values'!$G$2</f>
        <v>3.4121703942857144</v>
      </c>
      <c r="K31" s="5">
        <f>SUM(K25:K28)*'N2O default values'!$G$2</f>
        <v>0.70339812060876483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22" sqref="M22"/>
    </sheetView>
  </sheetViews>
  <sheetFormatPr baseColWidth="10" defaultColWidth="9.140625" defaultRowHeight="15" x14ac:dyDescent="0.25"/>
  <cols>
    <col min="1" max="1" width="9.140625" style="5"/>
    <col min="2" max="2" width="17.7109375" style="5" bestFit="1" customWidth="1"/>
    <col min="3" max="10" width="9.140625" style="5"/>
    <col min="11" max="11" width="41.7109375" style="5" customWidth="1"/>
    <col min="12" max="12" width="7" style="5" customWidth="1"/>
    <col min="13" max="13" width="14.140625" style="5" bestFit="1" customWidth="1"/>
    <col min="14" max="14" width="41.85546875" style="5" customWidth="1"/>
    <col min="15" max="19" width="30.7109375" style="5" customWidth="1"/>
    <col min="20" max="16384" width="9.140625" style="5"/>
  </cols>
  <sheetData>
    <row r="1" spans="1:21" ht="45" x14ac:dyDescent="0.25">
      <c r="A1" s="5">
        <v>1</v>
      </c>
      <c r="C1" s="5" t="s">
        <v>277</v>
      </c>
      <c r="D1" s="5" t="s">
        <v>297</v>
      </c>
      <c r="G1" s="5" t="s">
        <v>298</v>
      </c>
      <c r="I1" s="5" t="s">
        <v>299</v>
      </c>
      <c r="K1" s="6"/>
      <c r="M1" s="5" t="s">
        <v>300</v>
      </c>
      <c r="N1" s="5" t="s">
        <v>253</v>
      </c>
      <c r="O1" s="21" t="s">
        <v>301</v>
      </c>
      <c r="P1" s="21" t="s">
        <v>302</v>
      </c>
      <c r="Q1" s="21" t="s">
        <v>303</v>
      </c>
      <c r="R1" s="21" t="s">
        <v>304</v>
      </c>
      <c r="S1" s="21" t="s">
        <v>254</v>
      </c>
      <c r="T1" s="21" t="s">
        <v>305</v>
      </c>
      <c r="U1" s="21" t="s">
        <v>306</v>
      </c>
    </row>
    <row r="2" spans="1:21" x14ac:dyDescent="0.25">
      <c r="A2" s="5">
        <v>2</v>
      </c>
      <c r="B2" s="5" t="s">
        <v>307</v>
      </c>
      <c r="C2" s="5">
        <v>1.6E-2</v>
      </c>
      <c r="D2" s="5">
        <v>5.0000000000000001E-3</v>
      </c>
      <c r="E2" s="5">
        <f>HLOOKUP('N2O calculations'!$B$6,$B$1:$D$10,A2)</f>
        <v>1.6E-2</v>
      </c>
      <c r="G2" s="5">
        <f>44/28</f>
        <v>1.5714285714285714</v>
      </c>
      <c r="I2" s="5" t="s">
        <v>308</v>
      </c>
      <c r="J2" s="5">
        <v>0.15</v>
      </c>
      <c r="K2" s="117" t="s">
        <v>309</v>
      </c>
      <c r="L2" s="118">
        <v>0.15</v>
      </c>
      <c r="M2" s="5">
        <v>1</v>
      </c>
      <c r="N2" s="21" t="s">
        <v>255</v>
      </c>
      <c r="O2" s="21">
        <v>8.0000000000000002E-3</v>
      </c>
      <c r="P2" s="21">
        <v>8.9999999999999993E-3</v>
      </c>
      <c r="Q2" s="21">
        <v>1</v>
      </c>
      <c r="R2" s="21">
        <v>0.22</v>
      </c>
      <c r="S2" s="21">
        <v>0.85</v>
      </c>
      <c r="T2" s="21">
        <v>1</v>
      </c>
      <c r="U2" s="5">
        <f>S2</f>
        <v>0.85</v>
      </c>
    </row>
    <row r="3" spans="1:21" x14ac:dyDescent="0.25">
      <c r="A3" s="5">
        <v>3</v>
      </c>
      <c r="B3" s="5" t="s">
        <v>310</v>
      </c>
      <c r="C3" s="5">
        <v>6.0000000000000001E-3</v>
      </c>
      <c r="D3" s="5">
        <v>5.0000000000000001E-3</v>
      </c>
      <c r="E3" s="5">
        <f>HLOOKUP('N2O calculations'!$B$6,$B$1:$D$10,A3)</f>
        <v>6.0000000000000001E-3</v>
      </c>
      <c r="I3" s="5" t="s">
        <v>311</v>
      </c>
      <c r="J3" s="5">
        <v>0.08</v>
      </c>
      <c r="K3" s="119" t="s">
        <v>312</v>
      </c>
      <c r="L3" s="118">
        <v>0.08</v>
      </c>
      <c r="M3" s="5">
        <v>2</v>
      </c>
      <c r="N3" s="5" t="s">
        <v>256</v>
      </c>
      <c r="O3" s="5">
        <v>6.0000000000000001E-3</v>
      </c>
      <c r="P3" s="5">
        <v>8.9999999999999993E-3</v>
      </c>
      <c r="Q3" s="5">
        <v>1.3</v>
      </c>
      <c r="R3" s="5">
        <v>0.22</v>
      </c>
      <c r="S3" s="5">
        <v>0.88</v>
      </c>
      <c r="T3" s="21">
        <v>1</v>
      </c>
      <c r="U3" s="5">
        <f t="shared" ref="U3:U22" si="0">S3</f>
        <v>0.88</v>
      </c>
    </row>
    <row r="4" spans="1:21" x14ac:dyDescent="0.25">
      <c r="A4" s="5">
        <v>4</v>
      </c>
      <c r="B4" s="5" t="s">
        <v>313</v>
      </c>
      <c r="C4" s="5">
        <v>1.4E-2</v>
      </c>
      <c r="D4" s="5">
        <v>5.0000000000000001E-3</v>
      </c>
      <c r="E4" s="5">
        <f>HLOOKUP('N2O calculations'!$B$6,$B$1:$D$10,A4)</f>
        <v>1.4E-2</v>
      </c>
      <c r="I4" s="5" t="s">
        <v>314</v>
      </c>
      <c r="J4" s="5">
        <v>0.01</v>
      </c>
      <c r="K4" s="119" t="s">
        <v>315</v>
      </c>
      <c r="L4" s="118">
        <v>0.01</v>
      </c>
      <c r="M4" s="5">
        <v>3</v>
      </c>
      <c r="N4" s="5" t="s">
        <v>257</v>
      </c>
      <c r="O4" s="5">
        <v>6.0000000000000001E-3</v>
      </c>
      <c r="P4" s="5">
        <v>8.9999999999999993E-3</v>
      </c>
      <c r="Q4" s="5">
        <v>1.3</v>
      </c>
      <c r="R4" s="5">
        <v>0.23</v>
      </c>
      <c r="S4" s="5">
        <v>0.89</v>
      </c>
      <c r="T4" s="21">
        <v>1</v>
      </c>
      <c r="U4" s="5">
        <f t="shared" si="0"/>
        <v>0.89</v>
      </c>
    </row>
    <row r="5" spans="1:21" x14ac:dyDescent="0.25">
      <c r="A5" s="5">
        <v>5</v>
      </c>
      <c r="B5" s="5" t="s">
        <v>279</v>
      </c>
      <c r="E5" s="5">
        <v>1.0999999999999999E-2</v>
      </c>
      <c r="I5" s="5" t="s">
        <v>316</v>
      </c>
      <c r="J5" s="5">
        <v>0.05</v>
      </c>
      <c r="K5" s="120" t="s">
        <v>317</v>
      </c>
      <c r="L5" s="120">
        <v>0.05</v>
      </c>
      <c r="M5" s="5">
        <v>4</v>
      </c>
      <c r="N5" s="5" t="s">
        <v>258</v>
      </c>
      <c r="O5" s="5">
        <v>6.0000000000000001E-3</v>
      </c>
      <c r="P5" s="5">
        <v>8.9999999999999993E-3</v>
      </c>
      <c r="Q5" s="5">
        <v>1.3</v>
      </c>
      <c r="R5" s="5">
        <v>0.28000000000000003</v>
      </c>
      <c r="S5" s="5">
        <v>0.89</v>
      </c>
      <c r="T5" s="21">
        <v>1</v>
      </c>
      <c r="U5" s="5">
        <f t="shared" si="0"/>
        <v>0.89</v>
      </c>
    </row>
    <row r="6" spans="1:21" x14ac:dyDescent="0.25">
      <c r="A6" s="5">
        <v>6</v>
      </c>
      <c r="I6" s="5" t="s">
        <v>318</v>
      </c>
      <c r="J6" s="5">
        <v>0.05</v>
      </c>
      <c r="K6" s="120" t="s">
        <v>319</v>
      </c>
      <c r="L6" s="120">
        <v>0.11</v>
      </c>
      <c r="M6" s="5">
        <v>5</v>
      </c>
      <c r="N6" s="5" t="s">
        <v>259</v>
      </c>
      <c r="O6" s="5">
        <v>7.0000000000000001E-3</v>
      </c>
      <c r="P6" s="5">
        <v>1.4E-2</v>
      </c>
      <c r="Q6" s="5">
        <v>1.2</v>
      </c>
      <c r="R6" s="5">
        <v>0.22</v>
      </c>
      <c r="S6" s="5">
        <v>0.89</v>
      </c>
      <c r="T6" s="21">
        <v>1</v>
      </c>
      <c r="U6" s="5">
        <f t="shared" si="0"/>
        <v>0.89</v>
      </c>
    </row>
    <row r="7" spans="1:21" x14ac:dyDescent="0.25">
      <c r="A7" s="5">
        <v>7</v>
      </c>
      <c r="I7" s="5" t="s">
        <v>320</v>
      </c>
      <c r="J7" s="5">
        <v>0.21</v>
      </c>
      <c r="M7" s="5">
        <v>6</v>
      </c>
      <c r="N7" s="5" t="s">
        <v>260</v>
      </c>
      <c r="O7" s="5">
        <v>7.0000000000000001E-3</v>
      </c>
      <c r="P7" s="5">
        <v>8.0000000000000002E-3</v>
      </c>
      <c r="Q7" s="5">
        <v>1.3</v>
      </c>
      <c r="R7" s="5">
        <v>0.25</v>
      </c>
      <c r="S7" s="5">
        <v>0.89</v>
      </c>
      <c r="T7" s="21">
        <v>1</v>
      </c>
      <c r="U7" s="5">
        <f t="shared" si="0"/>
        <v>0.89</v>
      </c>
    </row>
    <row r="8" spans="1:21" x14ac:dyDescent="0.25">
      <c r="A8" s="5">
        <v>8</v>
      </c>
      <c r="I8" s="5" t="s">
        <v>321</v>
      </c>
      <c r="J8" s="5">
        <v>0.05</v>
      </c>
      <c r="M8" s="5">
        <v>7</v>
      </c>
      <c r="N8" s="5" t="s">
        <v>261</v>
      </c>
      <c r="O8" s="5">
        <v>6.0000000000000001E-3</v>
      </c>
      <c r="P8" s="5">
        <v>7.0000000000000001E-3</v>
      </c>
      <c r="Q8" s="5">
        <v>1</v>
      </c>
      <c r="R8" s="5">
        <v>0.22</v>
      </c>
      <c r="S8" s="5">
        <v>0.87</v>
      </c>
      <c r="T8" s="21">
        <v>1</v>
      </c>
      <c r="U8" s="5">
        <f t="shared" si="0"/>
        <v>0.87</v>
      </c>
    </row>
    <row r="9" spans="1:21" x14ac:dyDescent="0.25">
      <c r="A9" s="5">
        <v>9</v>
      </c>
      <c r="I9" s="5" t="s">
        <v>322</v>
      </c>
      <c r="J9" s="5">
        <v>0.05</v>
      </c>
      <c r="M9" s="5">
        <v>8</v>
      </c>
      <c r="N9" s="5" t="s">
        <v>262</v>
      </c>
      <c r="O9" s="5">
        <v>5.0000000000000001E-3</v>
      </c>
      <c r="P9" s="5">
        <v>1.0999999999999999E-2</v>
      </c>
      <c r="Q9" s="5">
        <v>1.6</v>
      </c>
      <c r="R9" s="121">
        <f>R2</f>
        <v>0.22</v>
      </c>
      <c r="S9" s="5">
        <v>0.88</v>
      </c>
      <c r="T9" s="21">
        <v>1</v>
      </c>
      <c r="U9" s="5">
        <f t="shared" si="0"/>
        <v>0.88</v>
      </c>
    </row>
    <row r="10" spans="1:21" x14ac:dyDescent="0.25">
      <c r="A10" s="5">
        <v>10</v>
      </c>
      <c r="I10" s="5" t="s">
        <v>323</v>
      </c>
      <c r="J10" s="5">
        <v>0.05</v>
      </c>
      <c r="M10" s="5">
        <v>9</v>
      </c>
      <c r="N10" s="5" t="s">
        <v>263</v>
      </c>
      <c r="O10" s="5">
        <v>7.0000000000000001E-3</v>
      </c>
      <c r="P10" s="121">
        <f>P2</f>
        <v>8.9999999999999993E-3</v>
      </c>
      <c r="Q10" s="5">
        <v>1.4</v>
      </c>
      <c r="R10" s="5">
        <v>0.16</v>
      </c>
      <c r="S10" s="5">
        <v>0.89</v>
      </c>
      <c r="T10" s="21">
        <v>1</v>
      </c>
      <c r="U10" s="5">
        <f t="shared" si="0"/>
        <v>0.89</v>
      </c>
    </row>
    <row r="11" spans="1:21" x14ac:dyDescent="0.25">
      <c r="I11" s="5" t="s">
        <v>324</v>
      </c>
      <c r="J11" s="116">
        <v>0.11</v>
      </c>
      <c r="M11" s="5">
        <v>10</v>
      </c>
      <c r="N11" s="5" t="s">
        <v>264</v>
      </c>
      <c r="O11" s="5">
        <v>7.0000000000000001E-3</v>
      </c>
      <c r="P11" s="121">
        <f>P2</f>
        <v>8.9999999999999993E-3</v>
      </c>
      <c r="Q11" s="5">
        <v>1.4</v>
      </c>
      <c r="R11" s="121">
        <f>R2</f>
        <v>0.22</v>
      </c>
      <c r="S11" s="108">
        <v>0.9</v>
      </c>
      <c r="T11" s="21">
        <v>1</v>
      </c>
      <c r="U11" s="5">
        <f t="shared" si="0"/>
        <v>0.9</v>
      </c>
    </row>
    <row r="12" spans="1:21" x14ac:dyDescent="0.25">
      <c r="I12" s="5" t="s">
        <v>325</v>
      </c>
      <c r="J12" s="116">
        <v>0.08</v>
      </c>
      <c r="M12" s="5">
        <v>11</v>
      </c>
      <c r="N12" s="5" t="s">
        <v>265</v>
      </c>
      <c r="O12" s="5">
        <v>7.0000000000000001E-3</v>
      </c>
      <c r="P12" s="5">
        <v>6.0000000000000001E-3</v>
      </c>
      <c r="Q12" s="5">
        <v>1.4</v>
      </c>
      <c r="R12" s="121">
        <f>R2</f>
        <v>0.22</v>
      </c>
      <c r="S12" s="5">
        <v>0.89</v>
      </c>
      <c r="T12" s="21">
        <v>1</v>
      </c>
      <c r="U12" s="5">
        <f t="shared" si="0"/>
        <v>0.89</v>
      </c>
    </row>
    <row r="13" spans="1:21" x14ac:dyDescent="0.25">
      <c r="I13" s="5" t="s">
        <v>326</v>
      </c>
      <c r="J13" s="5">
        <v>0.11</v>
      </c>
      <c r="M13" s="5">
        <v>12</v>
      </c>
      <c r="N13" s="5" t="s">
        <v>266</v>
      </c>
      <c r="O13" s="5">
        <v>8.0000000000000002E-3</v>
      </c>
      <c r="P13" s="5">
        <v>8.0000000000000002E-3</v>
      </c>
      <c r="Q13" s="5">
        <v>2.1</v>
      </c>
      <c r="R13" s="5">
        <v>0.19</v>
      </c>
      <c r="S13" s="5">
        <v>0.91</v>
      </c>
      <c r="T13" s="21">
        <v>1</v>
      </c>
      <c r="U13" s="5">
        <f t="shared" si="0"/>
        <v>0.91</v>
      </c>
    </row>
    <row r="14" spans="1:21" x14ac:dyDescent="0.25">
      <c r="I14" s="5" t="s">
        <v>327</v>
      </c>
      <c r="J14" s="5">
        <v>0.05</v>
      </c>
      <c r="M14" s="5">
        <v>13</v>
      </c>
      <c r="N14" s="5" t="s">
        <v>267</v>
      </c>
      <c r="O14" s="5">
        <v>8.0000000000000002E-3</v>
      </c>
      <c r="P14" s="5">
        <v>8.0000000000000002E-3</v>
      </c>
      <c r="Q14" s="5">
        <v>2.1</v>
      </c>
      <c r="R14" s="5">
        <v>0.19</v>
      </c>
      <c r="S14" s="5">
        <v>0.91</v>
      </c>
      <c r="T14" s="21">
        <v>1</v>
      </c>
      <c r="U14" s="5">
        <f t="shared" si="0"/>
        <v>0.91</v>
      </c>
    </row>
    <row r="15" spans="1:21" x14ac:dyDescent="0.25">
      <c r="I15" s="5" t="s">
        <v>328</v>
      </c>
      <c r="J15" s="5">
        <v>0.15</v>
      </c>
      <c r="M15" s="5">
        <v>14</v>
      </c>
      <c r="N15" s="5" t="s">
        <v>268</v>
      </c>
      <c r="O15" s="5">
        <v>1.9E-2</v>
      </c>
      <c r="P15" s="5">
        <v>1.4E-2</v>
      </c>
      <c r="Q15" s="5">
        <v>0.4</v>
      </c>
      <c r="R15" s="5">
        <v>0.2</v>
      </c>
      <c r="S15" s="5">
        <v>0.22</v>
      </c>
      <c r="T15" s="21">
        <v>1</v>
      </c>
      <c r="U15" s="5">
        <f t="shared" si="0"/>
        <v>0.22</v>
      </c>
    </row>
    <row r="16" spans="1:21" x14ac:dyDescent="0.25">
      <c r="I16" s="5" t="s">
        <v>329</v>
      </c>
      <c r="J16" s="5">
        <v>0.11</v>
      </c>
      <c r="M16" s="5">
        <v>15</v>
      </c>
      <c r="N16" s="5" t="s">
        <v>269</v>
      </c>
      <c r="O16" s="5">
        <v>1.6E-2</v>
      </c>
      <c r="P16" s="121">
        <f>P2</f>
        <v>8.9999999999999993E-3</v>
      </c>
      <c r="Q16" s="5">
        <v>1</v>
      </c>
      <c r="R16" s="121">
        <f>R2</f>
        <v>0.22</v>
      </c>
      <c r="S16" s="5">
        <v>0.94</v>
      </c>
      <c r="T16" s="21">
        <v>1</v>
      </c>
      <c r="U16" s="5">
        <f t="shared" si="0"/>
        <v>0.94</v>
      </c>
    </row>
    <row r="17" spans="9:21" x14ac:dyDescent="0.25">
      <c r="I17" s="5" t="s">
        <v>330</v>
      </c>
      <c r="J17" s="5">
        <v>0.08</v>
      </c>
      <c r="M17" s="5">
        <v>16</v>
      </c>
      <c r="N17" s="5" t="s">
        <v>270</v>
      </c>
      <c r="O17" s="5">
        <v>2.7E-2</v>
      </c>
      <c r="P17" s="5">
        <v>1.9E-2</v>
      </c>
      <c r="Q17" s="121">
        <f>Q$2</f>
        <v>1</v>
      </c>
      <c r="R17" s="5">
        <v>0.4</v>
      </c>
      <c r="S17" s="5">
        <v>0.9</v>
      </c>
      <c r="T17" s="21">
        <v>1</v>
      </c>
      <c r="U17" s="5">
        <f t="shared" si="0"/>
        <v>0.9</v>
      </c>
    </row>
    <row r="18" spans="9:21" x14ac:dyDescent="0.25">
      <c r="I18" s="124" t="s">
        <v>337</v>
      </c>
      <c r="J18" s="124">
        <v>0.11</v>
      </c>
      <c r="M18" s="5">
        <v>17</v>
      </c>
      <c r="N18" s="5" t="s">
        <v>271</v>
      </c>
      <c r="O18" s="5">
        <v>1.4999999999999999E-2</v>
      </c>
      <c r="P18" s="5">
        <v>1.2E-2</v>
      </c>
      <c r="Q18" s="121">
        <f>Q$2</f>
        <v>1</v>
      </c>
      <c r="R18" s="5">
        <v>0.54</v>
      </c>
      <c r="S18" s="5">
        <v>0.9</v>
      </c>
      <c r="T18" s="21"/>
      <c r="U18" s="5">
        <f t="shared" si="0"/>
        <v>0.9</v>
      </c>
    </row>
    <row r="19" spans="9:21" x14ac:dyDescent="0.25">
      <c r="I19" s="124" t="s">
        <v>386</v>
      </c>
      <c r="J19" s="124">
        <v>0.05</v>
      </c>
      <c r="M19" s="5">
        <v>18</v>
      </c>
      <c r="N19" s="5" t="s">
        <v>272</v>
      </c>
      <c r="O19" s="5">
        <v>2.7E-2</v>
      </c>
      <c r="P19" s="5">
        <v>2.1999999999999999E-2</v>
      </c>
      <c r="Q19" s="5">
        <v>0.3</v>
      </c>
      <c r="R19" s="5">
        <v>0.4</v>
      </c>
      <c r="S19" s="5">
        <v>0.9</v>
      </c>
      <c r="T19" s="21"/>
      <c r="U19" s="5">
        <f t="shared" si="0"/>
        <v>0.9</v>
      </c>
    </row>
    <row r="20" spans="9:21" x14ac:dyDescent="0.25">
      <c r="I20" s="124" t="s">
        <v>387</v>
      </c>
      <c r="J20" s="124">
        <v>0.05</v>
      </c>
      <c r="M20" s="5">
        <v>19</v>
      </c>
      <c r="N20" s="5" t="s">
        <v>273</v>
      </c>
      <c r="O20" s="5">
        <v>1.4999999999999999E-2</v>
      </c>
      <c r="P20" s="5">
        <v>1.2E-2</v>
      </c>
      <c r="Q20" s="5">
        <v>0.3</v>
      </c>
      <c r="R20" s="5">
        <v>0.54</v>
      </c>
      <c r="S20" s="5">
        <v>0.9</v>
      </c>
      <c r="T20" s="21"/>
      <c r="U20" s="5">
        <f t="shared" si="0"/>
        <v>0.9</v>
      </c>
    </row>
    <row r="21" spans="9:21" x14ac:dyDescent="0.25">
      <c r="M21" s="5">
        <v>20</v>
      </c>
      <c r="N21" s="5" t="s">
        <v>274</v>
      </c>
      <c r="O21" s="5">
        <v>1.4999999999999999E-2</v>
      </c>
      <c r="P21" s="5">
        <v>1.2E-2</v>
      </c>
      <c r="Q21" s="5">
        <v>0.3</v>
      </c>
      <c r="R21" s="5">
        <v>0.8</v>
      </c>
      <c r="S21" s="5">
        <v>0.9</v>
      </c>
      <c r="T21" s="21"/>
      <c r="U21" s="5">
        <f t="shared" si="0"/>
        <v>0.9</v>
      </c>
    </row>
    <row r="22" spans="9:21" x14ac:dyDescent="0.25">
      <c r="M22" s="5">
        <v>21</v>
      </c>
      <c r="N22" s="5" t="s">
        <v>275</v>
      </c>
      <c r="O22" s="5">
        <v>2.5000000000000001E-2</v>
      </c>
      <c r="P22" s="5">
        <v>1.6E-2</v>
      </c>
      <c r="Q22" s="5">
        <v>0.3</v>
      </c>
      <c r="R22" s="5">
        <v>0.8</v>
      </c>
      <c r="S22" s="5">
        <v>0.9</v>
      </c>
      <c r="T22" s="21"/>
      <c r="U22" s="5">
        <f t="shared" si="0"/>
        <v>0.9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6" sqref="E6"/>
    </sheetView>
  </sheetViews>
  <sheetFormatPr baseColWidth="10" defaultColWidth="9.140625" defaultRowHeight="15" x14ac:dyDescent="0.25"/>
  <cols>
    <col min="1" max="1" width="18" style="5" customWidth="1"/>
    <col min="2" max="16384" width="9.140625" style="5"/>
  </cols>
  <sheetData>
    <row r="1" spans="1:6" x14ac:dyDescent="0.25">
      <c r="A1" s="5" t="s">
        <v>253</v>
      </c>
      <c r="B1" s="5" t="s">
        <v>331</v>
      </c>
      <c r="E1" s="6"/>
    </row>
    <row r="2" spans="1:6" x14ac:dyDescent="0.25">
      <c r="A2" s="122" t="s">
        <v>292</v>
      </c>
      <c r="B2" s="5">
        <v>12</v>
      </c>
      <c r="C2" s="102"/>
      <c r="D2" s="21"/>
      <c r="E2" s="102"/>
    </row>
    <row r="3" spans="1:6" x14ac:dyDescent="0.25">
      <c r="A3" s="115" t="s">
        <v>291</v>
      </c>
      <c r="B3" s="5">
        <v>12</v>
      </c>
      <c r="C3" s="102"/>
      <c r="E3" s="102"/>
    </row>
    <row r="4" spans="1:6" x14ac:dyDescent="0.25">
      <c r="A4" s="115" t="s">
        <v>290</v>
      </c>
      <c r="B4" s="5">
        <v>5</v>
      </c>
      <c r="E4" s="102"/>
    </row>
    <row r="5" spans="1:6" x14ac:dyDescent="0.25">
      <c r="A5" s="115" t="s">
        <v>288</v>
      </c>
      <c r="B5" s="5">
        <v>5</v>
      </c>
      <c r="E5" s="101"/>
    </row>
    <row r="6" spans="1:6" x14ac:dyDescent="0.25">
      <c r="A6" s="115" t="s">
        <v>289</v>
      </c>
      <c r="B6" s="5">
        <v>6</v>
      </c>
      <c r="E6" s="102"/>
    </row>
    <row r="7" spans="1:6" x14ac:dyDescent="0.25">
      <c r="A7" s="115" t="s">
        <v>287</v>
      </c>
      <c r="B7" s="5">
        <v>1</v>
      </c>
      <c r="E7" s="102"/>
      <c r="F7" s="104"/>
    </row>
    <row r="8" spans="1:6" x14ac:dyDescent="0.25">
      <c r="A8" s="115" t="s">
        <v>332</v>
      </c>
      <c r="B8" s="5">
        <v>3</v>
      </c>
      <c r="E8" s="102"/>
      <c r="F8" s="104"/>
    </row>
    <row r="9" spans="1:6" x14ac:dyDescent="0.25">
      <c r="A9" s="123" t="s">
        <v>333</v>
      </c>
      <c r="B9" s="5">
        <v>13</v>
      </c>
      <c r="C9" s="102"/>
      <c r="E9" s="102"/>
    </row>
    <row r="10" spans="1:6" x14ac:dyDescent="0.25">
      <c r="A10" s="6" t="s">
        <v>261</v>
      </c>
      <c r="B10" s="5">
        <v>7</v>
      </c>
      <c r="C10" s="102"/>
      <c r="E10" s="102"/>
    </row>
    <row r="11" spans="1:6" x14ac:dyDescent="0.25">
      <c r="A11" s="115" t="s">
        <v>334</v>
      </c>
      <c r="B11" s="5">
        <v>1</v>
      </c>
      <c r="E11" s="102"/>
    </row>
    <row r="12" spans="1:6" x14ac:dyDescent="0.25">
      <c r="A12" s="19" t="s">
        <v>335</v>
      </c>
      <c r="B12" s="5">
        <v>12</v>
      </c>
      <c r="E12" s="102"/>
    </row>
    <row r="13" spans="1:6" x14ac:dyDescent="0.25">
      <c r="A13" s="115" t="s">
        <v>336</v>
      </c>
      <c r="B13" s="5">
        <v>12</v>
      </c>
      <c r="E13" s="102"/>
    </row>
    <row r="14" spans="1:6" x14ac:dyDescent="0.25">
      <c r="A14" s="21" t="s">
        <v>224</v>
      </c>
      <c r="B14" s="5">
        <v>13</v>
      </c>
      <c r="E14" s="102"/>
    </row>
    <row r="15" spans="1:6" x14ac:dyDescent="0.25">
      <c r="A15" s="21" t="s">
        <v>123</v>
      </c>
      <c r="B15" s="5">
        <v>7</v>
      </c>
      <c r="E15" s="102"/>
    </row>
    <row r="16" spans="1:6" x14ac:dyDescent="0.25">
      <c r="E16" s="102"/>
    </row>
    <row r="17" spans="5:5" x14ac:dyDescent="0.25">
      <c r="E17" s="10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M15" sqref="M15"/>
    </sheetView>
  </sheetViews>
  <sheetFormatPr baseColWidth="10" defaultColWidth="11.42578125" defaultRowHeight="15" x14ac:dyDescent="0.25"/>
  <sheetData>
    <row r="1" spans="1:2" x14ac:dyDescent="0.25">
      <c r="A1" s="98" t="s">
        <v>198</v>
      </c>
    </row>
    <row r="2" spans="1:2" x14ac:dyDescent="0.25">
      <c r="A2" t="s">
        <v>208</v>
      </c>
    </row>
    <row r="3" spans="1:2" x14ac:dyDescent="0.25">
      <c r="A3" s="5" t="s">
        <v>209</v>
      </c>
    </row>
    <row r="5" spans="1:2" x14ac:dyDescent="0.25">
      <c r="A5" s="98" t="s">
        <v>199</v>
      </c>
    </row>
    <row r="6" spans="1:2" x14ac:dyDescent="0.25">
      <c r="A6" s="28" t="s">
        <v>211</v>
      </c>
    </row>
    <row r="8" spans="1:2" x14ac:dyDescent="0.25">
      <c r="A8" s="6" t="s">
        <v>200</v>
      </c>
    </row>
    <row r="9" spans="1:2" x14ac:dyDescent="0.25">
      <c r="A9" t="s">
        <v>201</v>
      </c>
    </row>
    <row r="10" spans="1:2" s="5" customFormat="1" x14ac:dyDescent="0.25">
      <c r="A10" t="s">
        <v>202</v>
      </c>
      <c r="B10" s="5" t="s">
        <v>214</v>
      </c>
    </row>
    <row r="11" spans="1:2" s="5" customFormat="1" x14ac:dyDescent="0.25">
      <c r="B11" t="s">
        <v>217</v>
      </c>
    </row>
    <row r="12" spans="1:2" x14ac:dyDescent="0.25">
      <c r="B12" t="s">
        <v>213</v>
      </c>
    </row>
    <row r="14" spans="1:2" x14ac:dyDescent="0.25">
      <c r="A14" t="s">
        <v>203</v>
      </c>
    </row>
    <row r="15" spans="1:2" x14ac:dyDescent="0.25">
      <c r="A15" t="s">
        <v>204</v>
      </c>
      <c r="B15" t="s">
        <v>215</v>
      </c>
    </row>
    <row r="16" spans="1:2" x14ac:dyDescent="0.25">
      <c r="B16" s="5" t="s">
        <v>212</v>
      </c>
    </row>
    <row r="18" spans="1:12" x14ac:dyDescent="0.25">
      <c r="A18" t="s">
        <v>205</v>
      </c>
    </row>
    <row r="19" spans="1:12" x14ac:dyDescent="0.25">
      <c r="B19" t="s">
        <v>216</v>
      </c>
    </row>
    <row r="20" spans="1:12" x14ac:dyDescent="0.25">
      <c r="B20" t="s">
        <v>206</v>
      </c>
    </row>
    <row r="22" spans="1:12" x14ac:dyDescent="0.25">
      <c r="A22" s="6" t="s">
        <v>207</v>
      </c>
    </row>
    <row r="23" spans="1:12" x14ac:dyDescent="0.25">
      <c r="A23" t="s">
        <v>202</v>
      </c>
      <c r="B23" t="s">
        <v>210</v>
      </c>
    </row>
    <row r="25" spans="1:12" x14ac:dyDescent="0.25">
      <c r="L25" s="99"/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"/>
  <sheetViews>
    <sheetView topLeftCell="A7" zoomScale="90" zoomScaleNormal="90" workbookViewId="0">
      <selection activeCell="G20" sqref="G20"/>
    </sheetView>
  </sheetViews>
  <sheetFormatPr baseColWidth="10" defaultColWidth="11.42578125" defaultRowHeight="15" x14ac:dyDescent="0.25"/>
  <cols>
    <col min="1" max="1" width="21" customWidth="1"/>
    <col min="2" max="2" width="61.85546875" customWidth="1"/>
    <col min="3" max="3" width="28" customWidth="1"/>
    <col min="4" max="4" width="15.85546875" customWidth="1"/>
    <col min="11" max="11" width="12.28515625" bestFit="1" customWidth="1"/>
  </cols>
  <sheetData>
    <row r="4" spans="1:9" s="5" customFormat="1" x14ac:dyDescent="0.25"/>
    <row r="5" spans="1:9" ht="15" customHeight="1" x14ac:dyDescent="0.25">
      <c r="A5" s="150" t="s">
        <v>57</v>
      </c>
      <c r="B5" s="146" t="s">
        <v>56</v>
      </c>
      <c r="C5" s="152" t="s">
        <v>134</v>
      </c>
      <c r="D5" s="154"/>
      <c r="I5" s="11"/>
    </row>
    <row r="6" spans="1:9" s="5" customFormat="1" ht="18.75" customHeight="1" x14ac:dyDescent="0.25">
      <c r="A6" s="150"/>
      <c r="B6" s="146"/>
      <c r="C6" s="153"/>
      <c r="D6" s="154"/>
      <c r="E6" s="9"/>
      <c r="F6" s="9"/>
    </row>
    <row r="7" spans="1:9" s="5" customFormat="1" ht="18.75" customHeight="1" x14ac:dyDescent="0.25">
      <c r="A7" s="150"/>
      <c r="B7" s="146"/>
      <c r="C7" s="153"/>
      <c r="D7" s="154"/>
      <c r="E7" s="9"/>
      <c r="F7" s="9"/>
    </row>
    <row r="8" spans="1:9" s="5" customFormat="1" ht="18.75" customHeight="1" x14ac:dyDescent="0.25">
      <c r="A8" s="17"/>
      <c r="B8" s="16"/>
      <c r="C8" s="10"/>
      <c r="D8" s="9"/>
      <c r="E8" s="9"/>
      <c r="F8" s="9"/>
    </row>
    <row r="9" spans="1:9" s="5" customFormat="1" ht="18.75" customHeight="1" x14ac:dyDescent="0.25">
      <c r="A9" s="17" t="s">
        <v>58</v>
      </c>
      <c r="B9" s="151" t="s">
        <v>59</v>
      </c>
      <c r="C9" s="155" t="s">
        <v>133</v>
      </c>
      <c r="D9" s="9"/>
      <c r="E9" s="9"/>
      <c r="F9" s="9"/>
    </row>
    <row r="10" spans="1:9" x14ac:dyDescent="0.25">
      <c r="A10" s="5"/>
      <c r="B10" s="151"/>
      <c r="C10" s="155"/>
    </row>
    <row r="11" spans="1:9" s="5" customFormat="1" ht="15" customHeight="1" x14ac:dyDescent="0.25">
      <c r="A11" s="147" t="s">
        <v>0</v>
      </c>
      <c r="B11" s="146" t="s">
        <v>60</v>
      </c>
      <c r="C11" s="148" t="s">
        <v>120</v>
      </c>
    </row>
    <row r="12" spans="1:9" x14ac:dyDescent="0.25">
      <c r="A12" s="147"/>
      <c r="B12" s="146"/>
      <c r="C12" s="148"/>
    </row>
    <row r="13" spans="1:9" s="5" customFormat="1" x14ac:dyDescent="0.25">
      <c r="A13" s="6"/>
    </row>
    <row r="14" spans="1:9" x14ac:dyDescent="0.25">
      <c r="A14" s="7" t="s">
        <v>1</v>
      </c>
      <c r="B14" s="14" t="s">
        <v>73</v>
      </c>
      <c r="C14" s="28">
        <v>30</v>
      </c>
    </row>
    <row r="15" spans="1:9" x14ac:dyDescent="0.25">
      <c r="A15" s="6"/>
      <c r="B15" s="5"/>
    </row>
    <row r="16" spans="1:9" s="5" customFormat="1" x14ac:dyDescent="0.25">
      <c r="A16" s="20" t="s">
        <v>71</v>
      </c>
      <c r="B16" s="5" t="s">
        <v>72</v>
      </c>
      <c r="C16" s="28" t="s">
        <v>131</v>
      </c>
    </row>
    <row r="17" spans="1:14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18" t="s">
        <v>61</v>
      </c>
      <c r="B18" s="18"/>
      <c r="C18" s="5"/>
      <c r="D18" s="3"/>
      <c r="E18" s="3"/>
      <c r="F18" s="3"/>
      <c r="G18" s="3"/>
      <c r="I18" s="3"/>
      <c r="J18" s="3"/>
      <c r="L18" s="3"/>
      <c r="M18" s="3"/>
      <c r="N18" s="3"/>
    </row>
    <row r="19" spans="1:14" s="5" customFormat="1" x14ac:dyDescent="0.25">
      <c r="A19" s="149" t="s">
        <v>64</v>
      </c>
    </row>
    <row r="20" spans="1:14" ht="15" customHeight="1" x14ac:dyDescent="0.25">
      <c r="A20" s="149"/>
      <c r="B20" s="15" t="s">
        <v>62</v>
      </c>
    </row>
    <row r="21" spans="1:14" x14ac:dyDescent="0.25">
      <c r="A21" s="149"/>
      <c r="B21" s="5"/>
    </row>
    <row r="23" spans="1:14" ht="30" x14ac:dyDescent="0.25">
      <c r="A23" s="12" t="s">
        <v>49</v>
      </c>
      <c r="B23" s="15" t="s">
        <v>74</v>
      </c>
      <c r="C23" s="22">
        <v>0.7</v>
      </c>
    </row>
    <row r="24" spans="1:14" x14ac:dyDescent="0.25">
      <c r="A24" s="6"/>
      <c r="B24" s="5"/>
    </row>
    <row r="25" spans="1:14" ht="15" customHeight="1" x14ac:dyDescent="0.25">
      <c r="A25" s="145" t="s">
        <v>4</v>
      </c>
      <c r="B25" s="143" t="s">
        <v>63</v>
      </c>
      <c r="C25" s="144"/>
    </row>
    <row r="26" spans="1:14" s="5" customFormat="1" x14ac:dyDescent="0.25">
      <c r="A26" s="145"/>
      <c r="B26" s="143"/>
      <c r="C26" s="144"/>
    </row>
    <row r="27" spans="1:14" x14ac:dyDescent="0.25">
      <c r="A27" s="145"/>
      <c r="B27" s="143"/>
      <c r="C27" s="144"/>
    </row>
    <row r="28" spans="1:14" s="5" customFormat="1" x14ac:dyDescent="0.25">
      <c r="A28" s="6"/>
      <c r="B28" s="13"/>
      <c r="C28" s="4"/>
    </row>
    <row r="29" spans="1:14" ht="30" x14ac:dyDescent="0.25">
      <c r="A29" s="12" t="s">
        <v>50</v>
      </c>
      <c r="B29" s="5" t="s">
        <v>75</v>
      </c>
      <c r="C29">
        <v>1.1299999999999999</v>
      </c>
    </row>
    <row r="30" spans="1:14" x14ac:dyDescent="0.25">
      <c r="A30" s="6"/>
      <c r="B30" s="5"/>
    </row>
    <row r="31" spans="1:14" x14ac:dyDescent="0.25">
      <c r="A31" s="7" t="s">
        <v>51</v>
      </c>
      <c r="B31" s="5" t="s">
        <v>76</v>
      </c>
      <c r="C31" t="s">
        <v>187</v>
      </c>
    </row>
    <row r="32" spans="1:14" x14ac:dyDescent="0.25">
      <c r="A32" s="6"/>
      <c r="B32" s="5"/>
    </row>
    <row r="33" spans="1:3" ht="30" x14ac:dyDescent="0.25">
      <c r="A33" s="12" t="s">
        <v>52</v>
      </c>
      <c r="B33" s="5" t="s">
        <v>77</v>
      </c>
    </row>
    <row r="34" spans="1:3" x14ac:dyDescent="0.25">
      <c r="A34" s="12"/>
      <c r="B34" s="5"/>
    </row>
    <row r="35" spans="1:3" ht="45" x14ac:dyDescent="0.25">
      <c r="A35" s="12" t="s">
        <v>53</v>
      </c>
      <c r="B35" s="3" t="s">
        <v>78</v>
      </c>
      <c r="C35">
        <v>590.6</v>
      </c>
    </row>
    <row r="36" spans="1:3" x14ac:dyDescent="0.25">
      <c r="A36" s="12"/>
      <c r="B36" s="5"/>
    </row>
    <row r="37" spans="1:3" ht="30" x14ac:dyDescent="0.25">
      <c r="A37" s="12" t="s">
        <v>55</v>
      </c>
      <c r="B37" s="5" t="s">
        <v>79</v>
      </c>
      <c r="C37" s="15">
        <v>531</v>
      </c>
    </row>
    <row r="38" spans="1:3" x14ac:dyDescent="0.25">
      <c r="A38" s="12"/>
      <c r="B38" s="5"/>
      <c r="C38" s="15"/>
    </row>
    <row r="39" spans="1:3" ht="30" x14ac:dyDescent="0.25">
      <c r="A39" s="12" t="s">
        <v>54</v>
      </c>
      <c r="B39" s="21" t="s">
        <v>80</v>
      </c>
      <c r="C39" s="15">
        <v>155.4</v>
      </c>
    </row>
    <row r="40" spans="1:3" x14ac:dyDescent="0.25">
      <c r="C40" s="15"/>
    </row>
  </sheetData>
  <mergeCells count="13">
    <mergeCell ref="B5:B7"/>
    <mergeCell ref="A5:A7"/>
    <mergeCell ref="B9:B10"/>
    <mergeCell ref="C5:C7"/>
    <mergeCell ref="D5:D7"/>
    <mergeCell ref="C9:C10"/>
    <mergeCell ref="B25:B27"/>
    <mergeCell ref="C25:C27"/>
    <mergeCell ref="A25:A27"/>
    <mergeCell ref="B11:B12"/>
    <mergeCell ref="A11:A12"/>
    <mergeCell ref="C11:C12"/>
    <mergeCell ref="A19:A21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zoomScale="60" zoomScaleNormal="60" workbookViewId="0">
      <pane xSplit="3" topLeftCell="D1" activePane="topRight" state="frozen"/>
      <selection pane="topRight" activeCell="O43" sqref="O43:Q43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59.28515625" style="5" customWidth="1"/>
    <col min="4" max="4" width="1.7109375" style="8" customWidth="1"/>
    <col min="5" max="5" width="49.42578125" style="5" customWidth="1"/>
    <col min="6" max="6" width="35" style="5" bestFit="1" customWidth="1"/>
    <col min="7" max="7" width="19" style="5" customWidth="1"/>
    <col min="8" max="8" width="21" style="5" customWidth="1"/>
    <col min="9" max="9" width="45.140625" style="5" customWidth="1"/>
    <col min="10" max="10" width="39.140625" style="5" customWidth="1"/>
    <col min="11" max="11" width="1.7109375" style="8" customWidth="1"/>
    <col min="12" max="12" width="57.85546875" style="5" customWidth="1"/>
    <col min="13" max="13" width="32.5703125" style="5" customWidth="1"/>
    <col min="14" max="14" width="11.42578125" style="5"/>
    <col min="15" max="15" width="24.7109375" style="5" customWidth="1"/>
    <col min="16" max="16" width="35.7109375" style="5" customWidth="1"/>
    <col min="17" max="17" width="61.140625" style="5" customWidth="1"/>
    <col min="18" max="18" width="0.7109375" style="5" customWidth="1"/>
    <col min="19" max="16384" width="11.42578125" style="5"/>
  </cols>
  <sheetData>
    <row r="1" spans="1:18" ht="15.75" thickBot="1" x14ac:dyDescent="0.3"/>
    <row r="2" spans="1:18" ht="15.75" thickBot="1" x14ac:dyDescent="0.3">
      <c r="A2" s="30"/>
      <c r="B2" s="31" t="s">
        <v>39</v>
      </c>
      <c r="C2" s="31" t="s">
        <v>40</v>
      </c>
      <c r="D2" s="32"/>
      <c r="E2" s="160" t="s">
        <v>47</v>
      </c>
      <c r="F2" s="161"/>
      <c r="G2" s="161"/>
      <c r="H2" s="161"/>
      <c r="I2" s="161"/>
      <c r="J2" s="161"/>
      <c r="K2" s="32"/>
      <c r="L2" s="162" t="s">
        <v>48</v>
      </c>
      <c r="M2" s="161"/>
      <c r="N2" s="161"/>
      <c r="O2" s="161"/>
      <c r="P2" s="161"/>
      <c r="Q2" s="161"/>
    </row>
    <row r="3" spans="1:18" ht="15" customHeight="1" x14ac:dyDescent="0.25">
      <c r="A3" s="163" t="s">
        <v>38</v>
      </c>
      <c r="B3" s="166" t="s">
        <v>37</v>
      </c>
      <c r="C3" s="23" t="s">
        <v>2</v>
      </c>
      <c r="D3" s="33"/>
      <c r="E3" s="169" t="s">
        <v>123</v>
      </c>
      <c r="F3" s="170"/>
      <c r="G3" s="170"/>
      <c r="H3" s="170"/>
      <c r="I3" s="170"/>
      <c r="J3" s="170"/>
      <c r="K3" s="33"/>
      <c r="L3" s="169" t="s">
        <v>105</v>
      </c>
      <c r="M3" s="170"/>
      <c r="N3" s="170"/>
      <c r="O3" s="170"/>
      <c r="P3" s="170"/>
      <c r="Q3" s="170"/>
      <c r="R3" s="76"/>
    </row>
    <row r="4" spans="1:18" x14ac:dyDescent="0.25">
      <c r="A4" s="164"/>
      <c r="B4" s="167"/>
      <c r="C4" s="24" t="s">
        <v>3</v>
      </c>
      <c r="D4" s="33"/>
      <c r="E4" s="171" t="s">
        <v>99</v>
      </c>
      <c r="F4" s="172"/>
      <c r="G4" s="172"/>
      <c r="H4" s="172"/>
      <c r="I4" s="172"/>
      <c r="J4" s="172"/>
      <c r="K4" s="33"/>
      <c r="L4" s="171" t="s">
        <v>114</v>
      </c>
      <c r="M4" s="172"/>
      <c r="N4" s="172"/>
      <c r="O4" s="172"/>
      <c r="P4" s="172"/>
      <c r="Q4" s="172"/>
      <c r="R4" s="76"/>
    </row>
    <row r="5" spans="1:18" x14ac:dyDescent="0.25">
      <c r="A5" s="164"/>
      <c r="B5" s="167"/>
      <c r="C5" s="26" t="s">
        <v>96</v>
      </c>
      <c r="D5" s="34"/>
      <c r="E5" s="156" t="s">
        <v>100</v>
      </c>
      <c r="F5" s="156"/>
      <c r="G5" s="156"/>
      <c r="H5" s="156"/>
      <c r="I5" s="156"/>
      <c r="J5" s="156"/>
      <c r="K5" s="35"/>
      <c r="L5" s="156" t="s">
        <v>115</v>
      </c>
      <c r="M5" s="156"/>
      <c r="N5" s="156"/>
      <c r="O5" s="156"/>
      <c r="P5" s="156"/>
      <c r="Q5" s="156"/>
      <c r="R5" s="76"/>
    </row>
    <row r="6" spans="1:18" ht="15.75" thickBot="1" x14ac:dyDescent="0.3">
      <c r="A6" s="165"/>
      <c r="B6" s="168"/>
      <c r="C6" s="36" t="s">
        <v>65</v>
      </c>
      <c r="D6" s="33"/>
      <c r="E6" s="157" t="s">
        <v>101</v>
      </c>
      <c r="F6" s="158"/>
      <c r="G6" s="158"/>
      <c r="H6" s="158"/>
      <c r="I6" s="158"/>
      <c r="J6" s="159"/>
      <c r="K6" s="33"/>
      <c r="L6" s="157" t="s">
        <v>101</v>
      </c>
      <c r="M6" s="158"/>
      <c r="N6" s="158"/>
      <c r="O6" s="158"/>
      <c r="P6" s="158"/>
      <c r="Q6" s="159"/>
      <c r="R6" s="76"/>
    </row>
    <row r="7" spans="1:18" ht="15.75" thickBot="1" x14ac:dyDescent="0.3">
      <c r="A7" s="37"/>
      <c r="B7" s="38"/>
      <c r="C7" s="39"/>
      <c r="D7" s="40"/>
      <c r="E7" s="177"/>
      <c r="F7" s="178"/>
      <c r="G7" s="178"/>
      <c r="H7" s="178"/>
      <c r="I7" s="178"/>
      <c r="J7" s="178"/>
      <c r="K7" s="40"/>
      <c r="L7" s="177"/>
      <c r="M7" s="178"/>
      <c r="N7" s="178"/>
      <c r="O7" s="178"/>
      <c r="P7" s="178"/>
      <c r="Q7" s="178"/>
      <c r="R7" s="76"/>
    </row>
    <row r="8" spans="1:18" ht="15" customHeight="1" thickBot="1" x14ac:dyDescent="0.3">
      <c r="A8" s="179" t="s">
        <v>36</v>
      </c>
      <c r="B8" s="180" t="s">
        <v>90</v>
      </c>
      <c r="C8" s="25" t="s">
        <v>5</v>
      </c>
      <c r="D8" s="40"/>
      <c r="E8" s="173" t="s">
        <v>165</v>
      </c>
      <c r="F8" s="174"/>
      <c r="G8" s="174"/>
      <c r="H8" s="174"/>
      <c r="I8" s="174"/>
      <c r="J8" s="174"/>
      <c r="K8" s="40"/>
      <c r="L8" s="173" t="s">
        <v>166</v>
      </c>
      <c r="M8" s="174"/>
      <c r="N8" s="174"/>
      <c r="O8" s="174"/>
      <c r="P8" s="174"/>
      <c r="Q8" s="174"/>
      <c r="R8" s="76"/>
    </row>
    <row r="9" spans="1:18" ht="15.75" thickBot="1" x14ac:dyDescent="0.3">
      <c r="A9" s="179"/>
      <c r="B9" s="180"/>
      <c r="C9" s="41" t="s">
        <v>6</v>
      </c>
      <c r="D9" s="40"/>
      <c r="E9" s="173" t="s">
        <v>165</v>
      </c>
      <c r="F9" s="174"/>
      <c r="G9" s="174"/>
      <c r="H9" s="174"/>
      <c r="I9" s="174"/>
      <c r="J9" s="174"/>
      <c r="K9" s="40"/>
      <c r="L9" s="173" t="s">
        <v>166</v>
      </c>
      <c r="M9" s="174"/>
      <c r="N9" s="174"/>
      <c r="O9" s="174"/>
      <c r="P9" s="174"/>
      <c r="Q9" s="174"/>
      <c r="R9" s="76"/>
    </row>
    <row r="10" spans="1:18" ht="15.75" thickBot="1" x14ac:dyDescent="0.3">
      <c r="A10" s="179"/>
      <c r="B10" s="180"/>
      <c r="C10" s="42" t="s">
        <v>7</v>
      </c>
      <c r="D10" s="40"/>
      <c r="E10" s="173" t="s">
        <v>167</v>
      </c>
      <c r="F10" s="174"/>
      <c r="G10" s="174"/>
      <c r="H10" s="174"/>
      <c r="I10" s="174"/>
      <c r="J10" s="174"/>
      <c r="K10" s="40"/>
      <c r="L10" s="173" t="s">
        <v>168</v>
      </c>
      <c r="M10" s="174"/>
      <c r="N10" s="174"/>
      <c r="O10" s="174"/>
      <c r="P10" s="174"/>
      <c r="Q10" s="174"/>
      <c r="R10" s="76"/>
    </row>
    <row r="11" spans="1:18" ht="15.75" thickBot="1" x14ac:dyDescent="0.3">
      <c r="A11" s="43"/>
      <c r="B11" s="44"/>
      <c r="C11" s="44"/>
      <c r="D11" s="40"/>
      <c r="E11" s="175"/>
      <c r="F11" s="176"/>
      <c r="G11" s="176"/>
      <c r="H11" s="176"/>
      <c r="I11" s="176"/>
      <c r="J11" s="176"/>
      <c r="K11" s="40"/>
      <c r="L11" s="175"/>
      <c r="M11" s="176"/>
      <c r="N11" s="176"/>
      <c r="O11" s="176"/>
      <c r="P11" s="176"/>
      <c r="Q11" s="176"/>
      <c r="R11" s="76"/>
    </row>
    <row r="12" spans="1:18" ht="15" customHeight="1" x14ac:dyDescent="0.25">
      <c r="A12" s="191" t="s">
        <v>8</v>
      </c>
      <c r="B12" s="194" t="s">
        <v>91</v>
      </c>
      <c r="C12" s="45" t="s">
        <v>66</v>
      </c>
      <c r="D12" s="40"/>
      <c r="E12" s="197" t="s">
        <v>135</v>
      </c>
      <c r="F12" s="198"/>
      <c r="G12" s="198"/>
      <c r="H12" s="198"/>
      <c r="I12" s="198"/>
      <c r="J12" s="198"/>
      <c r="K12" s="40"/>
      <c r="L12" s="197" t="s">
        <v>138</v>
      </c>
      <c r="M12" s="198"/>
      <c r="N12" s="198"/>
      <c r="O12" s="198"/>
      <c r="P12" s="198"/>
      <c r="Q12" s="198"/>
      <c r="R12" s="76"/>
    </row>
    <row r="13" spans="1:18" x14ac:dyDescent="0.25">
      <c r="A13" s="192"/>
      <c r="B13" s="195"/>
      <c r="C13" s="46" t="s">
        <v>169</v>
      </c>
      <c r="D13" s="40"/>
      <c r="E13" s="199" t="s">
        <v>136</v>
      </c>
      <c r="F13" s="200"/>
      <c r="G13" s="200"/>
      <c r="H13" s="200"/>
      <c r="I13" s="200"/>
      <c r="J13" s="200"/>
      <c r="K13" s="40"/>
      <c r="L13" s="199" t="s">
        <v>116</v>
      </c>
      <c r="M13" s="200"/>
      <c r="N13" s="200"/>
      <c r="O13" s="200"/>
      <c r="P13" s="200"/>
      <c r="Q13" s="200"/>
      <c r="R13" s="76"/>
    </row>
    <row r="14" spans="1:18" ht="15.75" thickBot="1" x14ac:dyDescent="0.3">
      <c r="A14" s="193"/>
      <c r="B14" s="196"/>
      <c r="C14" s="47" t="s">
        <v>10</v>
      </c>
      <c r="D14" s="40"/>
      <c r="E14" s="201" t="s">
        <v>170</v>
      </c>
      <c r="F14" s="202"/>
      <c r="G14" s="202"/>
      <c r="H14" s="202"/>
      <c r="I14" s="202"/>
      <c r="J14" s="202"/>
      <c r="K14" s="40"/>
      <c r="L14" s="201" t="s">
        <v>171</v>
      </c>
      <c r="M14" s="202"/>
      <c r="N14" s="202"/>
      <c r="O14" s="202"/>
      <c r="P14" s="202"/>
      <c r="Q14" s="202"/>
      <c r="R14" s="76"/>
    </row>
    <row r="15" spans="1:18" ht="15.75" thickBot="1" x14ac:dyDescent="0.3">
      <c r="A15" s="43"/>
      <c r="B15" s="44"/>
      <c r="C15" s="44"/>
      <c r="D15" s="40"/>
      <c r="E15" s="175"/>
      <c r="F15" s="176"/>
      <c r="G15" s="176"/>
      <c r="H15" s="176"/>
      <c r="I15" s="176"/>
      <c r="J15" s="176"/>
      <c r="K15" s="40"/>
      <c r="L15" s="175"/>
      <c r="M15" s="176"/>
      <c r="N15" s="176"/>
      <c r="O15" s="176"/>
      <c r="P15" s="176"/>
      <c r="Q15" s="176"/>
      <c r="R15" s="76"/>
    </row>
    <row r="16" spans="1:18" ht="15.75" customHeight="1" thickBot="1" x14ac:dyDescent="0.3">
      <c r="A16" s="181" t="s">
        <v>11</v>
      </c>
      <c r="B16" s="184" t="s">
        <v>92</v>
      </c>
      <c r="C16" s="48" t="s">
        <v>87</v>
      </c>
      <c r="D16" s="40"/>
      <c r="E16" s="49" t="s">
        <v>32</v>
      </c>
      <c r="F16" s="87" t="s">
        <v>70</v>
      </c>
      <c r="G16" s="187" t="s">
        <v>20</v>
      </c>
      <c r="H16" s="188"/>
      <c r="I16" s="87" t="s">
        <v>89</v>
      </c>
      <c r="J16" s="87" t="s">
        <v>23</v>
      </c>
      <c r="K16" s="40"/>
      <c r="L16" s="49" t="s">
        <v>32</v>
      </c>
      <c r="M16" s="51" t="s">
        <v>70</v>
      </c>
      <c r="N16" s="187" t="s">
        <v>20</v>
      </c>
      <c r="O16" s="188"/>
      <c r="P16" s="93" t="s">
        <v>89</v>
      </c>
      <c r="Q16" s="93" t="s">
        <v>23</v>
      </c>
      <c r="R16" s="76"/>
    </row>
    <row r="17" spans="1:18" ht="15" customHeight="1" x14ac:dyDescent="0.25">
      <c r="A17" s="182"/>
      <c r="B17" s="185"/>
      <c r="C17" s="52" t="s">
        <v>12</v>
      </c>
      <c r="D17" s="40"/>
      <c r="E17" s="53" t="s">
        <v>101</v>
      </c>
      <c r="F17" s="54" t="s">
        <v>101</v>
      </c>
      <c r="G17" s="189" t="s">
        <v>101</v>
      </c>
      <c r="H17" s="190"/>
      <c r="I17" s="88" t="s">
        <v>101</v>
      </c>
      <c r="J17" s="88" t="s">
        <v>101</v>
      </c>
      <c r="K17" s="40"/>
      <c r="L17" s="53" t="s">
        <v>101</v>
      </c>
      <c r="M17" s="54" t="s">
        <v>101</v>
      </c>
      <c r="N17" s="189" t="s">
        <v>101</v>
      </c>
      <c r="O17" s="190"/>
      <c r="P17" s="92" t="s">
        <v>101</v>
      </c>
      <c r="Q17" s="92" t="s">
        <v>101</v>
      </c>
      <c r="R17" s="76"/>
    </row>
    <row r="18" spans="1:18" x14ac:dyDescent="0.25">
      <c r="A18" s="182"/>
      <c r="B18" s="185"/>
      <c r="C18" s="55" t="s">
        <v>13</v>
      </c>
      <c r="D18" s="40"/>
      <c r="E18" s="53" t="s">
        <v>101</v>
      </c>
      <c r="F18" s="54" t="s">
        <v>101</v>
      </c>
      <c r="G18" s="189" t="s">
        <v>101</v>
      </c>
      <c r="H18" s="190"/>
      <c r="I18" s="88" t="s">
        <v>101</v>
      </c>
      <c r="J18" s="88" t="s">
        <v>101</v>
      </c>
      <c r="K18" s="40"/>
      <c r="L18" s="53" t="s">
        <v>101</v>
      </c>
      <c r="M18" s="54" t="s">
        <v>101</v>
      </c>
      <c r="N18" s="189" t="s">
        <v>101</v>
      </c>
      <c r="O18" s="190"/>
      <c r="P18" s="92" t="s">
        <v>101</v>
      </c>
      <c r="Q18" s="92" t="s">
        <v>101</v>
      </c>
      <c r="R18" s="76"/>
    </row>
    <row r="19" spans="1:18" x14ac:dyDescent="0.25">
      <c r="A19" s="182"/>
      <c r="B19" s="185"/>
      <c r="C19" s="55" t="s">
        <v>14</v>
      </c>
      <c r="D19" s="40"/>
      <c r="E19" s="53" t="s">
        <v>101</v>
      </c>
      <c r="F19" s="54" t="s">
        <v>101</v>
      </c>
      <c r="G19" s="189" t="s">
        <v>101</v>
      </c>
      <c r="H19" s="190"/>
      <c r="I19" s="88" t="s">
        <v>101</v>
      </c>
      <c r="J19" s="88" t="s">
        <v>101</v>
      </c>
      <c r="K19" s="40"/>
      <c r="L19" s="53" t="s">
        <v>101</v>
      </c>
      <c r="M19" s="54" t="s">
        <v>101</v>
      </c>
      <c r="N19" s="189" t="s">
        <v>101</v>
      </c>
      <c r="O19" s="190"/>
      <c r="P19" s="92" t="s">
        <v>101</v>
      </c>
      <c r="Q19" s="92" t="s">
        <v>101</v>
      </c>
      <c r="R19" s="76"/>
    </row>
    <row r="20" spans="1:18" x14ac:dyDescent="0.25">
      <c r="A20" s="182"/>
      <c r="B20" s="185"/>
      <c r="C20" s="55" t="s">
        <v>15</v>
      </c>
      <c r="D20" s="40"/>
      <c r="E20" s="56" t="s">
        <v>102</v>
      </c>
      <c r="F20" s="57" t="s">
        <v>197</v>
      </c>
      <c r="G20" s="203" t="s">
        <v>140</v>
      </c>
      <c r="H20" s="204"/>
      <c r="I20" s="81" t="s">
        <v>147</v>
      </c>
      <c r="J20" s="88" t="s">
        <v>172</v>
      </c>
      <c r="K20" s="40"/>
      <c r="L20" s="56" t="s">
        <v>102</v>
      </c>
      <c r="M20" s="57" t="s">
        <v>145</v>
      </c>
      <c r="N20" s="203" t="s">
        <v>146</v>
      </c>
      <c r="O20" s="204"/>
      <c r="P20" s="97" t="s">
        <v>147</v>
      </c>
      <c r="Q20" s="92" t="s">
        <v>173</v>
      </c>
      <c r="R20" s="76"/>
    </row>
    <row r="21" spans="1:18" x14ac:dyDescent="0.25">
      <c r="A21" s="182"/>
      <c r="B21" s="185"/>
      <c r="C21" s="55" t="s">
        <v>16</v>
      </c>
      <c r="D21" s="40"/>
      <c r="E21" s="53" t="s">
        <v>101</v>
      </c>
      <c r="F21" s="54" t="s">
        <v>101</v>
      </c>
      <c r="G21" s="189" t="s">
        <v>101</v>
      </c>
      <c r="H21" s="190"/>
      <c r="I21" s="88" t="s">
        <v>101</v>
      </c>
      <c r="J21" s="88" t="s">
        <v>101</v>
      </c>
      <c r="K21" s="40"/>
      <c r="L21" s="53" t="s">
        <v>101</v>
      </c>
      <c r="M21" s="54" t="s">
        <v>101</v>
      </c>
      <c r="N21" s="189" t="s">
        <v>101</v>
      </c>
      <c r="O21" s="190"/>
      <c r="P21" s="92" t="s">
        <v>101</v>
      </c>
      <c r="Q21" s="92" t="s">
        <v>101</v>
      </c>
      <c r="R21" s="76"/>
    </row>
    <row r="22" spans="1:18" x14ac:dyDescent="0.25">
      <c r="A22" s="182"/>
      <c r="B22" s="185"/>
      <c r="C22" s="55" t="s">
        <v>17</v>
      </c>
      <c r="D22" s="40"/>
      <c r="E22" s="53" t="s">
        <v>102</v>
      </c>
      <c r="F22" s="54" t="s">
        <v>196</v>
      </c>
      <c r="G22" s="189" t="s">
        <v>137</v>
      </c>
      <c r="H22" s="190"/>
      <c r="I22" s="88">
        <v>250</v>
      </c>
      <c r="J22" s="88" t="s">
        <v>148</v>
      </c>
      <c r="K22" s="40"/>
      <c r="L22" s="53" t="s">
        <v>102</v>
      </c>
      <c r="M22" s="54" t="s">
        <v>196</v>
      </c>
      <c r="N22" s="189" t="s">
        <v>137</v>
      </c>
      <c r="O22" s="190"/>
      <c r="P22" s="92" t="s">
        <v>124</v>
      </c>
      <c r="Q22" s="92" t="s">
        <v>148</v>
      </c>
      <c r="R22" s="76"/>
    </row>
    <row r="23" spans="1:18" ht="15.75" thickBot="1" x14ac:dyDescent="0.3">
      <c r="A23" s="182"/>
      <c r="B23" s="185"/>
      <c r="C23" s="59" t="s">
        <v>117</v>
      </c>
      <c r="D23" s="40"/>
      <c r="E23" s="53" t="s">
        <v>101</v>
      </c>
      <c r="F23" s="54" t="s">
        <v>101</v>
      </c>
      <c r="G23" s="189" t="s">
        <v>101</v>
      </c>
      <c r="H23" s="190"/>
      <c r="I23" s="88" t="s">
        <v>101</v>
      </c>
      <c r="J23" s="88" t="s">
        <v>101</v>
      </c>
      <c r="K23" s="40"/>
      <c r="L23" s="53" t="s">
        <v>101</v>
      </c>
      <c r="M23" s="54" t="s">
        <v>101</v>
      </c>
      <c r="N23" s="189" t="s">
        <v>101</v>
      </c>
      <c r="O23" s="190"/>
      <c r="P23" s="92" t="s">
        <v>101</v>
      </c>
      <c r="Q23" s="92" t="s">
        <v>101</v>
      </c>
      <c r="R23" s="76"/>
    </row>
    <row r="24" spans="1:18" ht="18" thickBot="1" x14ac:dyDescent="0.3">
      <c r="A24" s="182"/>
      <c r="B24" s="185"/>
      <c r="C24" s="48" t="s">
        <v>85</v>
      </c>
      <c r="D24" s="40"/>
      <c r="E24" s="49" t="s">
        <v>32</v>
      </c>
      <c r="F24" s="87" t="s">
        <v>86</v>
      </c>
      <c r="G24" s="187" t="s">
        <v>20</v>
      </c>
      <c r="H24" s="188"/>
      <c r="I24" s="87" t="s">
        <v>174</v>
      </c>
      <c r="J24" s="87" t="s">
        <v>23</v>
      </c>
      <c r="K24" s="40"/>
      <c r="L24" s="49" t="s">
        <v>32</v>
      </c>
      <c r="M24" s="93" t="s">
        <v>86</v>
      </c>
      <c r="N24" s="187" t="s">
        <v>20</v>
      </c>
      <c r="O24" s="188"/>
      <c r="P24" s="93" t="s">
        <v>174</v>
      </c>
      <c r="Q24" s="93" t="s">
        <v>23</v>
      </c>
      <c r="R24" s="76"/>
    </row>
    <row r="25" spans="1:18" x14ac:dyDescent="0.25">
      <c r="A25" s="182"/>
      <c r="B25" s="185"/>
      <c r="C25" s="52" t="s">
        <v>19</v>
      </c>
      <c r="D25" s="40"/>
      <c r="E25" s="53" t="s">
        <v>101</v>
      </c>
      <c r="F25" s="54" t="s">
        <v>101</v>
      </c>
      <c r="G25" s="189" t="s">
        <v>101</v>
      </c>
      <c r="H25" s="190"/>
      <c r="I25" s="88" t="s">
        <v>101</v>
      </c>
      <c r="J25" s="88" t="s">
        <v>101</v>
      </c>
      <c r="K25" s="40"/>
      <c r="L25" s="53" t="s">
        <v>101</v>
      </c>
      <c r="M25" s="54" t="s">
        <v>101</v>
      </c>
      <c r="N25" s="189" t="s">
        <v>101</v>
      </c>
      <c r="O25" s="190"/>
      <c r="P25" s="92" t="s">
        <v>101</v>
      </c>
      <c r="Q25" s="92" t="s">
        <v>101</v>
      </c>
      <c r="R25" s="76"/>
    </row>
    <row r="26" spans="1:18" ht="15.75" thickBot="1" x14ac:dyDescent="0.3">
      <c r="A26" s="183"/>
      <c r="B26" s="186"/>
      <c r="C26" s="60" t="s">
        <v>18</v>
      </c>
      <c r="D26" s="40"/>
      <c r="E26" s="53" t="s">
        <v>101</v>
      </c>
      <c r="F26" s="54" t="s">
        <v>101</v>
      </c>
      <c r="G26" s="189" t="s">
        <v>101</v>
      </c>
      <c r="H26" s="190"/>
      <c r="I26" s="88" t="s">
        <v>101</v>
      </c>
      <c r="J26" s="88" t="s">
        <v>101</v>
      </c>
      <c r="K26" s="40"/>
      <c r="L26" s="53" t="s">
        <v>101</v>
      </c>
      <c r="M26" s="54" t="s">
        <v>101</v>
      </c>
      <c r="N26" s="189" t="s">
        <v>101</v>
      </c>
      <c r="O26" s="190"/>
      <c r="P26" s="92" t="s">
        <v>101</v>
      </c>
      <c r="Q26" s="92" t="s">
        <v>101</v>
      </c>
      <c r="R26" s="76"/>
    </row>
    <row r="27" spans="1:18" ht="15.75" thickBot="1" x14ac:dyDescent="0.3">
      <c r="A27" s="61"/>
      <c r="B27" s="44"/>
      <c r="C27" s="44"/>
      <c r="D27" s="40"/>
      <c r="E27" s="175"/>
      <c r="F27" s="176"/>
      <c r="G27" s="176"/>
      <c r="H27" s="176"/>
      <c r="I27" s="176"/>
      <c r="J27" s="176"/>
      <c r="K27" s="40"/>
      <c r="L27" s="175"/>
      <c r="M27" s="176"/>
      <c r="N27" s="176"/>
      <c r="O27" s="176"/>
      <c r="P27" s="176"/>
      <c r="Q27" s="176"/>
      <c r="R27" s="76"/>
    </row>
    <row r="28" spans="1:18" ht="60" customHeight="1" thickBot="1" x14ac:dyDescent="0.3">
      <c r="A28" s="206" t="s">
        <v>21</v>
      </c>
      <c r="B28" s="184" t="s">
        <v>93</v>
      </c>
      <c r="C28" s="48"/>
      <c r="D28" s="40"/>
      <c r="E28" s="86" t="s">
        <v>32</v>
      </c>
      <c r="F28" s="87" t="s">
        <v>20</v>
      </c>
      <c r="G28" s="187" t="s">
        <v>88</v>
      </c>
      <c r="H28" s="188"/>
      <c r="I28" s="209" t="s">
        <v>23</v>
      </c>
      <c r="J28" s="209"/>
      <c r="K28" s="40"/>
      <c r="L28" s="89" t="s">
        <v>32</v>
      </c>
      <c r="M28" s="93" t="s">
        <v>20</v>
      </c>
      <c r="N28" s="187" t="s">
        <v>88</v>
      </c>
      <c r="O28" s="188"/>
      <c r="P28" s="209" t="s">
        <v>23</v>
      </c>
      <c r="Q28" s="209"/>
      <c r="R28" s="76"/>
    </row>
    <row r="29" spans="1:18" ht="17.25" customHeight="1" x14ac:dyDescent="0.25">
      <c r="A29" s="207"/>
      <c r="B29" s="185"/>
      <c r="C29" s="52" t="s">
        <v>24</v>
      </c>
      <c r="D29" s="40"/>
      <c r="E29" s="85" t="s">
        <v>141</v>
      </c>
      <c r="F29" s="88" t="s">
        <v>142</v>
      </c>
      <c r="G29" s="189" t="s">
        <v>143</v>
      </c>
      <c r="H29" s="190"/>
      <c r="I29" s="205" t="s">
        <v>132</v>
      </c>
      <c r="J29" s="205"/>
      <c r="K29" s="40"/>
      <c r="L29" s="90" t="s">
        <v>122</v>
      </c>
      <c r="M29" s="92" t="s">
        <v>118</v>
      </c>
      <c r="N29" s="189" t="s">
        <v>119</v>
      </c>
      <c r="O29" s="190"/>
      <c r="P29" s="205" t="s">
        <v>175</v>
      </c>
      <c r="Q29" s="205"/>
      <c r="R29" s="76"/>
    </row>
    <row r="30" spans="1:18" ht="17.25" customHeight="1" x14ac:dyDescent="0.25">
      <c r="A30" s="207"/>
      <c r="B30" s="185"/>
      <c r="C30" s="52" t="s">
        <v>24</v>
      </c>
      <c r="D30" s="40"/>
      <c r="E30" s="85" t="s">
        <v>125</v>
      </c>
      <c r="F30" s="88" t="s">
        <v>110</v>
      </c>
      <c r="G30" s="189" t="s">
        <v>144</v>
      </c>
      <c r="H30" s="190"/>
      <c r="I30" s="205" t="s">
        <v>176</v>
      </c>
      <c r="J30" s="205"/>
      <c r="K30" s="40"/>
      <c r="L30" s="90" t="s">
        <v>101</v>
      </c>
      <c r="M30" s="54" t="s">
        <v>101</v>
      </c>
      <c r="N30" s="189" t="s">
        <v>101</v>
      </c>
      <c r="O30" s="190"/>
      <c r="P30" s="92" t="s">
        <v>101</v>
      </c>
      <c r="Q30" s="92" t="s">
        <v>101</v>
      </c>
      <c r="R30" s="85"/>
    </row>
    <row r="31" spans="1:18" ht="17.25" customHeight="1" x14ac:dyDescent="0.25">
      <c r="A31" s="207"/>
      <c r="B31" s="185"/>
      <c r="C31" s="55" t="s">
        <v>24</v>
      </c>
      <c r="D31" s="40"/>
      <c r="E31" s="80" t="s">
        <v>129</v>
      </c>
      <c r="F31" s="81" t="s">
        <v>128</v>
      </c>
      <c r="G31" s="203" t="s">
        <v>126</v>
      </c>
      <c r="H31" s="204"/>
      <c r="I31" s="205" t="s">
        <v>176</v>
      </c>
      <c r="J31" s="205"/>
      <c r="K31" s="40"/>
      <c r="L31" s="53" t="s">
        <v>101</v>
      </c>
      <c r="M31" s="54" t="s">
        <v>101</v>
      </c>
      <c r="N31" s="189" t="s">
        <v>101</v>
      </c>
      <c r="O31" s="190"/>
      <c r="P31" s="92" t="s">
        <v>101</v>
      </c>
      <c r="Q31" s="92" t="s">
        <v>101</v>
      </c>
      <c r="R31" s="76"/>
    </row>
    <row r="32" spans="1:18" x14ac:dyDescent="0.25">
      <c r="A32" s="207"/>
      <c r="B32" s="185"/>
      <c r="C32" s="55" t="s">
        <v>25</v>
      </c>
      <c r="D32" s="40"/>
      <c r="E32" s="53" t="s">
        <v>101</v>
      </c>
      <c r="F32" s="54" t="s">
        <v>101</v>
      </c>
      <c r="G32" s="189" t="s">
        <v>101</v>
      </c>
      <c r="H32" s="190"/>
      <c r="I32" s="88" t="s">
        <v>101</v>
      </c>
      <c r="J32" s="88" t="s">
        <v>101</v>
      </c>
      <c r="K32" s="40"/>
      <c r="L32" s="91" t="s">
        <v>149</v>
      </c>
      <c r="M32" s="97" t="s">
        <v>152</v>
      </c>
      <c r="N32" s="203" t="s">
        <v>150</v>
      </c>
      <c r="O32" s="204"/>
      <c r="P32" s="205" t="s">
        <v>154</v>
      </c>
      <c r="Q32" s="205"/>
      <c r="R32" s="76"/>
    </row>
    <row r="33" spans="1:18" x14ac:dyDescent="0.25">
      <c r="A33" s="207"/>
      <c r="B33" s="185"/>
      <c r="C33" s="55" t="s">
        <v>188</v>
      </c>
      <c r="D33" s="40"/>
      <c r="E33" s="53" t="s">
        <v>101</v>
      </c>
      <c r="F33" s="54" t="s">
        <v>101</v>
      </c>
      <c r="G33" s="189" t="s">
        <v>101</v>
      </c>
      <c r="H33" s="190"/>
      <c r="I33" s="88" t="s">
        <v>101</v>
      </c>
      <c r="J33" s="88" t="s">
        <v>101</v>
      </c>
      <c r="K33" s="40"/>
      <c r="L33" s="53" t="s">
        <v>151</v>
      </c>
      <c r="M33" s="97" t="s">
        <v>184</v>
      </c>
      <c r="N33" s="189" t="s">
        <v>153</v>
      </c>
      <c r="O33" s="190"/>
      <c r="P33" s="205" t="s">
        <v>176</v>
      </c>
      <c r="Q33" s="205"/>
      <c r="R33" s="76"/>
    </row>
    <row r="34" spans="1:18" x14ac:dyDescent="0.25">
      <c r="A34" s="207"/>
      <c r="B34" s="185"/>
      <c r="C34" s="55" t="s">
        <v>188</v>
      </c>
      <c r="D34" s="40"/>
      <c r="E34" s="53" t="s">
        <v>101</v>
      </c>
      <c r="F34" s="54" t="s">
        <v>101</v>
      </c>
      <c r="G34" s="189" t="s">
        <v>101</v>
      </c>
      <c r="H34" s="190"/>
      <c r="I34" s="88" t="s">
        <v>101</v>
      </c>
      <c r="J34" s="88" t="s">
        <v>101</v>
      </c>
      <c r="K34" s="40"/>
      <c r="L34" s="53" t="s">
        <v>101</v>
      </c>
      <c r="M34" s="54" t="s">
        <v>101</v>
      </c>
      <c r="N34" s="189" t="s">
        <v>101</v>
      </c>
      <c r="O34" s="190"/>
      <c r="P34" s="92" t="s">
        <v>101</v>
      </c>
      <c r="Q34" s="92" t="s">
        <v>101</v>
      </c>
      <c r="R34" s="76"/>
    </row>
    <row r="35" spans="1:18" ht="15.75" thickBot="1" x14ac:dyDescent="0.3">
      <c r="A35" s="207"/>
      <c r="B35" s="185"/>
      <c r="C35" s="60" t="s">
        <v>22</v>
      </c>
      <c r="D35" s="40"/>
      <c r="E35" s="53" t="s">
        <v>101</v>
      </c>
      <c r="F35" s="54" t="s">
        <v>101</v>
      </c>
      <c r="G35" s="189" t="s">
        <v>101</v>
      </c>
      <c r="H35" s="190"/>
      <c r="I35" s="88" t="s">
        <v>101</v>
      </c>
      <c r="J35" s="88" t="s">
        <v>101</v>
      </c>
      <c r="K35" s="40"/>
      <c r="L35" s="53" t="s">
        <v>101</v>
      </c>
      <c r="M35" s="54" t="s">
        <v>101</v>
      </c>
      <c r="N35" s="189" t="s">
        <v>101</v>
      </c>
      <c r="O35" s="190"/>
      <c r="P35" s="92" t="s">
        <v>101</v>
      </c>
      <c r="Q35" s="92" t="s">
        <v>101</v>
      </c>
      <c r="R35" s="76"/>
    </row>
    <row r="36" spans="1:18" s="19" customFormat="1" ht="15.75" thickBot="1" x14ac:dyDescent="0.3">
      <c r="A36" s="208"/>
      <c r="B36" s="186"/>
      <c r="C36" s="48" t="s">
        <v>67</v>
      </c>
      <c r="D36" s="65"/>
      <c r="E36" s="210" t="s">
        <v>108</v>
      </c>
      <c r="F36" s="211"/>
      <c r="G36" s="211"/>
      <c r="H36" s="188"/>
      <c r="I36" s="212" t="s">
        <v>195</v>
      </c>
      <c r="J36" s="212"/>
      <c r="K36" s="65"/>
      <c r="L36" s="211" t="s">
        <v>101</v>
      </c>
      <c r="M36" s="211"/>
      <c r="N36" s="211"/>
      <c r="O36" s="188"/>
      <c r="P36" s="212" t="s">
        <v>101</v>
      </c>
      <c r="Q36" s="212"/>
      <c r="R36" s="78"/>
    </row>
    <row r="37" spans="1:18" ht="15.75" thickBot="1" x14ac:dyDescent="0.3">
      <c r="A37" s="43"/>
      <c r="B37" s="44"/>
      <c r="C37" s="44"/>
      <c r="D37" s="40"/>
      <c r="E37" s="175"/>
      <c r="F37" s="176"/>
      <c r="G37" s="176"/>
      <c r="H37" s="176"/>
      <c r="I37" s="176"/>
      <c r="J37" s="176"/>
      <c r="K37" s="40"/>
      <c r="L37" s="175"/>
      <c r="M37" s="176"/>
      <c r="N37" s="176"/>
      <c r="O37" s="176"/>
      <c r="P37" s="176"/>
      <c r="Q37" s="176"/>
      <c r="R37" s="76"/>
    </row>
    <row r="38" spans="1:18" ht="15.75" customHeight="1" thickBot="1" x14ac:dyDescent="0.3">
      <c r="A38" s="231" t="s">
        <v>26</v>
      </c>
      <c r="B38" s="232" t="s">
        <v>94</v>
      </c>
      <c r="C38" s="45"/>
      <c r="D38" s="66" t="s">
        <v>9</v>
      </c>
      <c r="E38" s="218" t="s">
        <v>9</v>
      </c>
      <c r="F38" s="219"/>
      <c r="G38" s="220" t="s">
        <v>10</v>
      </c>
      <c r="H38" s="220"/>
      <c r="I38" s="220"/>
      <c r="J38" s="220"/>
      <c r="K38" s="66"/>
      <c r="L38" s="218" t="s">
        <v>9</v>
      </c>
      <c r="M38" s="219"/>
      <c r="N38" s="220" t="s">
        <v>10</v>
      </c>
      <c r="O38" s="220"/>
      <c r="P38" s="220"/>
      <c r="Q38" s="220"/>
      <c r="R38" s="76"/>
    </row>
    <row r="39" spans="1:18" ht="15" customHeight="1" x14ac:dyDescent="0.25">
      <c r="A39" s="231"/>
      <c r="B39" s="233"/>
      <c r="C39" s="46" t="s">
        <v>27</v>
      </c>
      <c r="D39" s="40"/>
      <c r="E39" s="215" t="s">
        <v>102</v>
      </c>
      <c r="F39" s="216"/>
      <c r="G39" s="200" t="s">
        <v>177</v>
      </c>
      <c r="H39" s="200"/>
      <c r="I39" s="200"/>
      <c r="J39" s="200"/>
      <c r="K39" s="40"/>
      <c r="L39" s="215" t="s">
        <v>102</v>
      </c>
      <c r="M39" s="216"/>
      <c r="N39" s="217" t="s">
        <v>178</v>
      </c>
      <c r="O39" s="217"/>
      <c r="P39" s="217"/>
      <c r="Q39" s="217"/>
      <c r="R39" s="76"/>
    </row>
    <row r="40" spans="1:18" x14ac:dyDescent="0.25">
      <c r="A40" s="231"/>
      <c r="B40" s="233"/>
      <c r="C40" s="46" t="s">
        <v>28</v>
      </c>
      <c r="D40" s="40"/>
      <c r="E40" s="213" t="s">
        <v>101</v>
      </c>
      <c r="F40" s="214"/>
      <c r="G40" s="200" t="s">
        <v>101</v>
      </c>
      <c r="H40" s="200"/>
      <c r="I40" s="200"/>
      <c r="J40" s="200"/>
      <c r="K40" s="40"/>
      <c r="L40" s="213" t="s">
        <v>101</v>
      </c>
      <c r="M40" s="214"/>
      <c r="N40" s="200" t="s">
        <v>101</v>
      </c>
      <c r="O40" s="200"/>
      <c r="P40" s="200"/>
      <c r="Q40" s="200"/>
      <c r="R40" s="76"/>
    </row>
    <row r="41" spans="1:18" ht="15.75" thickBot="1" x14ac:dyDescent="0.3">
      <c r="A41" s="231"/>
      <c r="B41" s="234"/>
      <c r="C41" s="47" t="s">
        <v>29</v>
      </c>
      <c r="D41" s="40"/>
      <c r="E41" s="229" t="s">
        <v>101</v>
      </c>
      <c r="F41" s="230"/>
      <c r="G41" s="202" t="s">
        <v>101</v>
      </c>
      <c r="H41" s="202"/>
      <c r="I41" s="202"/>
      <c r="J41" s="202"/>
      <c r="K41" s="40"/>
      <c r="L41" s="229" t="s">
        <v>101</v>
      </c>
      <c r="M41" s="230"/>
      <c r="N41" s="202" t="s">
        <v>101</v>
      </c>
      <c r="O41" s="202"/>
      <c r="P41" s="202"/>
      <c r="Q41" s="202"/>
      <c r="R41" s="76"/>
    </row>
    <row r="42" spans="1:18" ht="15.75" thickBot="1" x14ac:dyDescent="0.3">
      <c r="A42" s="43"/>
      <c r="B42" s="44"/>
      <c r="C42" s="44"/>
      <c r="D42" s="40"/>
      <c r="E42" s="175"/>
      <c r="F42" s="176"/>
      <c r="G42" s="176"/>
      <c r="H42" s="176"/>
      <c r="I42" s="176"/>
      <c r="J42" s="176"/>
      <c r="K42" s="40"/>
      <c r="L42" s="175"/>
      <c r="M42" s="176"/>
      <c r="N42" s="176"/>
      <c r="O42" s="176"/>
      <c r="P42" s="176"/>
      <c r="Q42" s="176"/>
      <c r="R42" s="76"/>
    </row>
    <row r="43" spans="1:18" ht="15" customHeight="1" thickBot="1" x14ac:dyDescent="0.3">
      <c r="A43" s="221" t="s">
        <v>30</v>
      </c>
      <c r="B43" s="223" t="s">
        <v>95</v>
      </c>
      <c r="C43" s="67"/>
      <c r="D43" s="40"/>
      <c r="E43" s="82" t="s">
        <v>9</v>
      </c>
      <c r="F43" s="226" t="s">
        <v>81</v>
      </c>
      <c r="G43" s="227"/>
      <c r="H43" s="228" t="s">
        <v>385</v>
      </c>
      <c r="I43" s="228"/>
      <c r="J43" s="228"/>
      <c r="K43" s="40"/>
      <c r="L43" s="94" t="s">
        <v>9</v>
      </c>
      <c r="M43" s="226" t="s">
        <v>81</v>
      </c>
      <c r="N43" s="227"/>
      <c r="O43" s="228" t="s">
        <v>385</v>
      </c>
      <c r="P43" s="228"/>
      <c r="Q43" s="228"/>
      <c r="R43" s="76"/>
    </row>
    <row r="44" spans="1:18" ht="15" customHeight="1" thickBot="1" x14ac:dyDescent="0.3">
      <c r="A44" s="222"/>
      <c r="B44" s="224"/>
      <c r="C44" s="69" t="s">
        <v>34</v>
      </c>
      <c r="D44" s="40"/>
      <c r="E44" s="83" t="s">
        <v>102</v>
      </c>
      <c r="F44" s="238" t="s">
        <v>191</v>
      </c>
      <c r="G44" s="239"/>
      <c r="H44" s="237" t="s">
        <v>192</v>
      </c>
      <c r="I44" s="237"/>
      <c r="J44" s="237"/>
      <c r="K44" s="40"/>
      <c r="L44" s="96"/>
      <c r="M44" s="238" t="s">
        <v>155</v>
      </c>
      <c r="N44" s="239"/>
      <c r="O44" s="240" t="s">
        <v>193</v>
      </c>
      <c r="P44" s="241"/>
      <c r="Q44" s="241"/>
      <c r="R44" s="76"/>
    </row>
    <row r="45" spans="1:18" ht="15.75" thickBot="1" x14ac:dyDescent="0.3">
      <c r="A45" s="222"/>
      <c r="B45" s="225"/>
      <c r="C45" s="71" t="s">
        <v>33</v>
      </c>
      <c r="D45" s="40"/>
      <c r="E45" s="84" t="s">
        <v>102</v>
      </c>
      <c r="F45" s="235" t="s">
        <v>112</v>
      </c>
      <c r="G45" s="236"/>
      <c r="H45" s="237" t="s">
        <v>101</v>
      </c>
      <c r="I45" s="237"/>
      <c r="J45" s="237"/>
      <c r="K45" s="40"/>
      <c r="L45" s="95"/>
      <c r="M45" s="235" t="s">
        <v>113</v>
      </c>
      <c r="N45" s="236"/>
      <c r="O45" s="237" t="s">
        <v>101</v>
      </c>
      <c r="P45" s="237"/>
      <c r="Q45" s="237"/>
      <c r="R45" s="76"/>
    </row>
    <row r="46" spans="1:18" ht="15.75" thickBot="1" x14ac:dyDescent="0.3">
      <c r="A46" s="43"/>
      <c r="B46" s="44"/>
      <c r="C46" s="44"/>
      <c r="D46" s="40"/>
      <c r="E46" s="175"/>
      <c r="F46" s="176"/>
      <c r="G46" s="176"/>
      <c r="H46" s="176"/>
      <c r="I46" s="176"/>
      <c r="J46" s="176"/>
      <c r="K46" s="40"/>
      <c r="L46" s="175"/>
      <c r="M46" s="176"/>
      <c r="N46" s="176"/>
      <c r="O46" s="176"/>
      <c r="P46" s="176"/>
      <c r="Q46" s="176"/>
      <c r="R46" s="76"/>
    </row>
    <row r="47" spans="1:18" ht="15" customHeight="1" x14ac:dyDescent="0.25">
      <c r="A47" s="206" t="s">
        <v>31</v>
      </c>
      <c r="B47" s="245" t="s">
        <v>97</v>
      </c>
      <c r="C47" s="73" t="s">
        <v>35</v>
      </c>
      <c r="D47" s="40"/>
      <c r="E47" s="248">
        <v>50</v>
      </c>
      <c r="F47" s="249"/>
      <c r="G47" s="249"/>
      <c r="H47" s="249"/>
      <c r="I47" s="249"/>
      <c r="J47" s="249"/>
      <c r="K47" s="40"/>
      <c r="L47" s="248">
        <v>60</v>
      </c>
      <c r="M47" s="249"/>
      <c r="N47" s="249"/>
      <c r="O47" s="249"/>
      <c r="P47" s="249"/>
      <c r="Q47" s="249"/>
      <c r="R47" s="76"/>
    </row>
    <row r="48" spans="1:18" x14ac:dyDescent="0.25">
      <c r="A48" s="207"/>
      <c r="B48" s="246"/>
      <c r="C48" s="74" t="s">
        <v>68</v>
      </c>
      <c r="D48" s="40"/>
      <c r="E48" s="204">
        <v>100</v>
      </c>
      <c r="F48" s="242"/>
      <c r="G48" s="242"/>
      <c r="H48" s="242"/>
      <c r="I48" s="242"/>
      <c r="J48" s="242"/>
      <c r="K48" s="40"/>
      <c r="L48" s="204">
        <v>52</v>
      </c>
      <c r="M48" s="242"/>
      <c r="N48" s="242"/>
      <c r="O48" s="242"/>
      <c r="P48" s="242"/>
      <c r="Q48" s="242"/>
      <c r="R48" s="76"/>
    </row>
    <row r="49" spans="1:18" x14ac:dyDescent="0.25">
      <c r="A49" s="207"/>
      <c r="B49" s="246"/>
      <c r="C49" s="74" t="s">
        <v>41</v>
      </c>
      <c r="D49" s="40"/>
      <c r="E49" s="204">
        <v>72</v>
      </c>
      <c r="F49" s="242"/>
      <c r="G49" s="242"/>
      <c r="H49" s="242"/>
      <c r="I49" s="242"/>
      <c r="J49" s="242"/>
      <c r="K49" s="40"/>
      <c r="L49" s="204">
        <v>60</v>
      </c>
      <c r="M49" s="242"/>
      <c r="N49" s="242"/>
      <c r="O49" s="242"/>
      <c r="P49" s="242"/>
      <c r="Q49" s="242"/>
      <c r="R49" s="76"/>
    </row>
    <row r="50" spans="1:18" x14ac:dyDescent="0.25">
      <c r="A50" s="207"/>
      <c r="B50" s="246"/>
      <c r="C50" s="74" t="s">
        <v>42</v>
      </c>
      <c r="D50" s="40"/>
      <c r="E50" s="243">
        <v>300</v>
      </c>
      <c r="F50" s="244"/>
      <c r="G50" s="244"/>
      <c r="H50" s="244"/>
      <c r="I50" s="244"/>
      <c r="J50" s="244"/>
      <c r="K50" s="40"/>
      <c r="L50" s="243">
        <v>300</v>
      </c>
      <c r="M50" s="244"/>
      <c r="N50" s="244"/>
      <c r="O50" s="244"/>
      <c r="P50" s="244"/>
      <c r="Q50" s="244"/>
      <c r="R50" s="76"/>
    </row>
    <row r="51" spans="1:18" x14ac:dyDescent="0.25">
      <c r="A51" s="207"/>
      <c r="B51" s="246"/>
      <c r="C51" s="55" t="s">
        <v>43</v>
      </c>
      <c r="D51" s="40"/>
      <c r="E51" s="243">
        <v>400</v>
      </c>
      <c r="F51" s="244"/>
      <c r="G51" s="244"/>
      <c r="H51" s="244"/>
      <c r="I51" s="244"/>
      <c r="J51" s="244"/>
      <c r="K51" s="40"/>
      <c r="L51" s="243" t="s">
        <v>101</v>
      </c>
      <c r="M51" s="244"/>
      <c r="N51" s="244"/>
      <c r="O51" s="244"/>
      <c r="P51" s="244"/>
      <c r="Q51" s="244"/>
      <c r="R51" s="76"/>
    </row>
    <row r="52" spans="1:18" x14ac:dyDescent="0.25">
      <c r="A52" s="207"/>
      <c r="B52" s="246"/>
      <c r="C52" s="55" t="s">
        <v>44</v>
      </c>
      <c r="D52" s="40"/>
      <c r="E52" s="243" t="s">
        <v>113</v>
      </c>
      <c r="F52" s="244"/>
      <c r="G52" s="244"/>
      <c r="H52" s="244"/>
      <c r="I52" s="244"/>
      <c r="J52" s="244"/>
      <c r="K52" s="40"/>
      <c r="L52" s="243" t="s">
        <v>101</v>
      </c>
      <c r="M52" s="244"/>
      <c r="N52" s="244"/>
      <c r="O52" s="244"/>
      <c r="P52" s="244"/>
      <c r="Q52" s="244"/>
      <c r="R52" s="76"/>
    </row>
    <row r="53" spans="1:18" x14ac:dyDescent="0.25">
      <c r="A53" s="207"/>
      <c r="B53" s="246"/>
      <c r="C53" s="74" t="s">
        <v>45</v>
      </c>
      <c r="D53" s="40"/>
      <c r="E53" s="243" t="s">
        <v>101</v>
      </c>
      <c r="F53" s="244"/>
      <c r="G53" s="244"/>
      <c r="H53" s="244"/>
      <c r="I53" s="244"/>
      <c r="J53" s="244"/>
      <c r="K53" s="40"/>
      <c r="L53" s="243" t="s">
        <v>101</v>
      </c>
      <c r="M53" s="244"/>
      <c r="N53" s="244"/>
      <c r="O53" s="244"/>
      <c r="P53" s="244"/>
      <c r="Q53" s="244"/>
      <c r="R53" s="76"/>
    </row>
    <row r="54" spans="1:18" x14ac:dyDescent="0.25">
      <c r="A54" s="207"/>
      <c r="B54" s="246"/>
      <c r="C54" s="55" t="s">
        <v>46</v>
      </c>
      <c r="D54" s="40"/>
      <c r="E54" s="243">
        <f>SUM(E47:J53)</f>
        <v>922</v>
      </c>
      <c r="F54" s="244"/>
      <c r="G54" s="244"/>
      <c r="H54" s="244"/>
      <c r="I54" s="244"/>
      <c r="J54" s="244"/>
      <c r="K54" s="40"/>
      <c r="L54" s="243">
        <f>SUM(L47:Q53)</f>
        <v>472</v>
      </c>
      <c r="M54" s="244"/>
      <c r="N54" s="244"/>
      <c r="O54" s="244"/>
      <c r="P54" s="244"/>
      <c r="Q54" s="244"/>
      <c r="R54" s="76"/>
    </row>
    <row r="55" spans="1:18" ht="15" customHeight="1" x14ac:dyDescent="0.25">
      <c r="A55" s="207"/>
      <c r="B55" s="246"/>
      <c r="C55" s="250" t="s">
        <v>69</v>
      </c>
      <c r="D55" s="75"/>
      <c r="E55" s="252" t="s">
        <v>101</v>
      </c>
      <c r="F55" s="253"/>
      <c r="G55" s="253"/>
      <c r="H55" s="253"/>
      <c r="I55" s="253"/>
      <c r="J55" s="254"/>
      <c r="K55" s="75"/>
      <c r="L55" s="252" t="s">
        <v>101</v>
      </c>
      <c r="M55" s="253"/>
      <c r="N55" s="253"/>
      <c r="O55" s="253"/>
      <c r="P55" s="253"/>
      <c r="Q55" s="254"/>
      <c r="R55" s="76"/>
    </row>
    <row r="56" spans="1:18" ht="15.75" thickBot="1" x14ac:dyDescent="0.3">
      <c r="A56" s="208"/>
      <c r="B56" s="247"/>
      <c r="C56" s="251"/>
      <c r="D56" s="75"/>
      <c r="E56" s="255"/>
      <c r="F56" s="256"/>
      <c r="G56" s="256"/>
      <c r="H56" s="256"/>
      <c r="I56" s="256"/>
      <c r="J56" s="257"/>
      <c r="K56" s="75"/>
      <c r="L56" s="255"/>
      <c r="M56" s="256"/>
      <c r="N56" s="256"/>
      <c r="O56" s="256"/>
      <c r="P56" s="256"/>
      <c r="Q56" s="257"/>
      <c r="R56" s="76"/>
    </row>
  </sheetData>
  <mergeCells count="149">
    <mergeCell ref="E49:J49"/>
    <mergeCell ref="L49:Q49"/>
    <mergeCell ref="E50:J50"/>
    <mergeCell ref="L50:Q50"/>
    <mergeCell ref="E46:J46"/>
    <mergeCell ref="L46:Q46"/>
    <mergeCell ref="A47:A56"/>
    <mergeCell ref="B47:B56"/>
    <mergeCell ref="E47:J47"/>
    <mergeCell ref="L47:Q47"/>
    <mergeCell ref="E48:J48"/>
    <mergeCell ref="L48:Q48"/>
    <mergeCell ref="C55:C56"/>
    <mergeCell ref="E55:J56"/>
    <mergeCell ref="L55:Q56"/>
    <mergeCell ref="E53:J53"/>
    <mergeCell ref="L53:Q53"/>
    <mergeCell ref="E54:J54"/>
    <mergeCell ref="L54:Q54"/>
    <mergeCell ref="E51:J51"/>
    <mergeCell ref="L51:Q51"/>
    <mergeCell ref="E52:J52"/>
    <mergeCell ref="L52:Q52"/>
    <mergeCell ref="A43:A45"/>
    <mergeCell ref="B43:B45"/>
    <mergeCell ref="F43:G43"/>
    <mergeCell ref="H43:J43"/>
    <mergeCell ref="M43:N43"/>
    <mergeCell ref="O43:Q43"/>
    <mergeCell ref="E41:F41"/>
    <mergeCell ref="G41:J41"/>
    <mergeCell ref="L41:M41"/>
    <mergeCell ref="N41:Q41"/>
    <mergeCell ref="A38:A41"/>
    <mergeCell ref="B38:B41"/>
    <mergeCell ref="F45:G45"/>
    <mergeCell ref="H45:J45"/>
    <mergeCell ref="M45:N45"/>
    <mergeCell ref="O45:Q45"/>
    <mergeCell ref="F44:G44"/>
    <mergeCell ref="H44:J44"/>
    <mergeCell ref="M44:N44"/>
    <mergeCell ref="O44:Q44"/>
    <mergeCell ref="E42:J42"/>
    <mergeCell ref="L42:Q42"/>
    <mergeCell ref="N35:O35"/>
    <mergeCell ref="N32:O32"/>
    <mergeCell ref="P32:Q32"/>
    <mergeCell ref="G33:H33"/>
    <mergeCell ref="N33:O33"/>
    <mergeCell ref="P33:Q33"/>
    <mergeCell ref="E40:F40"/>
    <mergeCell ref="G40:J40"/>
    <mergeCell ref="L40:M40"/>
    <mergeCell ref="N40:Q40"/>
    <mergeCell ref="E39:F39"/>
    <mergeCell ref="G39:J39"/>
    <mergeCell ref="L39:M39"/>
    <mergeCell ref="N39:Q39"/>
    <mergeCell ref="E37:J37"/>
    <mergeCell ref="L37:Q37"/>
    <mergeCell ref="E38:F38"/>
    <mergeCell ref="G38:J38"/>
    <mergeCell ref="L38:M38"/>
    <mergeCell ref="N38:Q38"/>
    <mergeCell ref="G31:H31"/>
    <mergeCell ref="I31:J31"/>
    <mergeCell ref="N31:O31"/>
    <mergeCell ref="G29:H29"/>
    <mergeCell ref="I29:J29"/>
    <mergeCell ref="N29:O29"/>
    <mergeCell ref="P29:Q29"/>
    <mergeCell ref="A28:A36"/>
    <mergeCell ref="B28:B36"/>
    <mergeCell ref="G28:H28"/>
    <mergeCell ref="I28:J28"/>
    <mergeCell ref="N28:O28"/>
    <mergeCell ref="P28:Q28"/>
    <mergeCell ref="G30:H30"/>
    <mergeCell ref="I30:J30"/>
    <mergeCell ref="N30:O30"/>
    <mergeCell ref="G32:H32"/>
    <mergeCell ref="E36:H36"/>
    <mergeCell ref="I36:J36"/>
    <mergeCell ref="L36:O36"/>
    <mergeCell ref="P36:Q36"/>
    <mergeCell ref="G34:H34"/>
    <mergeCell ref="N34:O34"/>
    <mergeCell ref="G35:H35"/>
    <mergeCell ref="G26:H26"/>
    <mergeCell ref="N26:O26"/>
    <mergeCell ref="E27:J27"/>
    <mergeCell ref="L27:Q27"/>
    <mergeCell ref="G24:H24"/>
    <mergeCell ref="N24:O24"/>
    <mergeCell ref="G25:H25"/>
    <mergeCell ref="N25:O25"/>
    <mergeCell ref="G22:H22"/>
    <mergeCell ref="N22:O22"/>
    <mergeCell ref="G23:H23"/>
    <mergeCell ref="N23:O23"/>
    <mergeCell ref="E15:J15"/>
    <mergeCell ref="L15:Q15"/>
    <mergeCell ref="A16:A26"/>
    <mergeCell ref="B16:B26"/>
    <mergeCell ref="G16:H16"/>
    <mergeCell ref="N16:O16"/>
    <mergeCell ref="G17:H17"/>
    <mergeCell ref="A12:A14"/>
    <mergeCell ref="B12:B14"/>
    <mergeCell ref="E12:J12"/>
    <mergeCell ref="L12:Q12"/>
    <mergeCell ref="E13:J13"/>
    <mergeCell ref="L13:Q13"/>
    <mergeCell ref="E14:J14"/>
    <mergeCell ref="L14:Q14"/>
    <mergeCell ref="G20:H20"/>
    <mergeCell ref="N20:O20"/>
    <mergeCell ref="G21:H21"/>
    <mergeCell ref="N21:O21"/>
    <mergeCell ref="N17:O17"/>
    <mergeCell ref="G18:H18"/>
    <mergeCell ref="N18:O18"/>
    <mergeCell ref="G19:H19"/>
    <mergeCell ref="N19:O19"/>
    <mergeCell ref="E10:J10"/>
    <mergeCell ref="L10:Q10"/>
    <mergeCell ref="E11:J11"/>
    <mergeCell ref="L11:Q11"/>
    <mergeCell ref="E7:J7"/>
    <mergeCell ref="L7:Q7"/>
    <mergeCell ref="A8:A10"/>
    <mergeCell ref="B8:B10"/>
    <mergeCell ref="E8:J8"/>
    <mergeCell ref="L8:Q8"/>
    <mergeCell ref="E9:J9"/>
    <mergeCell ref="L9:Q9"/>
    <mergeCell ref="E5:J5"/>
    <mergeCell ref="L5:Q5"/>
    <mergeCell ref="E6:J6"/>
    <mergeCell ref="L6:Q6"/>
    <mergeCell ref="E2:J2"/>
    <mergeCell ref="L2:Q2"/>
    <mergeCell ref="A3:A6"/>
    <mergeCell ref="B3:B6"/>
    <mergeCell ref="E3:J3"/>
    <mergeCell ref="L3:Q3"/>
    <mergeCell ref="E4:J4"/>
    <mergeCell ref="L4:Q4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zoomScale="60" zoomScaleNormal="60" workbookViewId="0">
      <pane xSplit="3" topLeftCell="D1" activePane="topRight" state="frozen"/>
      <selection pane="topRight" activeCell="U43" sqref="U43:W43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59.28515625" style="5" customWidth="1"/>
    <col min="4" max="4" width="1.7109375" style="8" customWidth="1"/>
    <col min="5" max="5" width="49.42578125" style="5" customWidth="1"/>
    <col min="6" max="6" width="35" style="5" bestFit="1" customWidth="1"/>
    <col min="7" max="7" width="19" style="5" customWidth="1"/>
    <col min="8" max="8" width="21" style="5" customWidth="1"/>
    <col min="9" max="9" width="45.140625" style="5" customWidth="1"/>
    <col min="10" max="10" width="39.140625" style="5" customWidth="1"/>
    <col min="11" max="11" width="1.7109375" style="8" customWidth="1"/>
    <col min="12" max="12" width="47.42578125" style="5" customWidth="1"/>
    <col min="13" max="13" width="30.28515625" style="5" customWidth="1"/>
    <col min="14" max="14" width="11.42578125" style="5"/>
    <col min="15" max="15" width="25.5703125" style="5" customWidth="1"/>
    <col min="16" max="16" width="39.7109375" style="5" customWidth="1"/>
    <col min="17" max="17" width="67.28515625" style="5" customWidth="1"/>
    <col min="18" max="18" width="42.28515625" style="5" customWidth="1"/>
    <col min="19" max="19" width="47.7109375" style="5" customWidth="1"/>
    <col min="20" max="20" width="35.7109375" style="5" customWidth="1"/>
    <col min="21" max="21" width="11.42578125" style="5"/>
    <col min="22" max="22" width="36.140625" style="5" customWidth="1"/>
    <col min="23" max="23" width="41.140625" style="5" customWidth="1"/>
    <col min="24" max="24" width="0.7109375" style="5" customWidth="1"/>
    <col min="25" max="16384" width="11.42578125" style="5"/>
  </cols>
  <sheetData>
    <row r="1" spans="1:24" ht="15.75" thickBot="1" x14ac:dyDescent="0.3"/>
    <row r="2" spans="1:24" ht="15.75" thickBot="1" x14ac:dyDescent="0.3">
      <c r="A2" s="30"/>
      <c r="B2" s="31" t="s">
        <v>39</v>
      </c>
      <c r="C2" s="31" t="s">
        <v>40</v>
      </c>
      <c r="D2" s="32"/>
      <c r="E2" s="160" t="s">
        <v>47</v>
      </c>
      <c r="F2" s="161"/>
      <c r="G2" s="161"/>
      <c r="H2" s="161"/>
      <c r="I2" s="161"/>
      <c r="J2" s="161"/>
      <c r="K2" s="32"/>
      <c r="L2" s="162" t="s">
        <v>48</v>
      </c>
      <c r="M2" s="161"/>
      <c r="N2" s="161"/>
      <c r="O2" s="161"/>
      <c r="P2" s="161"/>
      <c r="Q2" s="161"/>
      <c r="R2" s="259" t="s">
        <v>127</v>
      </c>
      <c r="S2" s="260"/>
      <c r="T2" s="260"/>
      <c r="U2" s="260"/>
      <c r="V2" s="260"/>
      <c r="W2" s="260"/>
    </row>
    <row r="3" spans="1:24" ht="15" customHeight="1" x14ac:dyDescent="0.25">
      <c r="A3" s="163" t="s">
        <v>38</v>
      </c>
      <c r="B3" s="166" t="s">
        <v>37</v>
      </c>
      <c r="C3" s="23" t="s">
        <v>2</v>
      </c>
      <c r="D3" s="33"/>
      <c r="E3" s="169" t="s">
        <v>123</v>
      </c>
      <c r="F3" s="170"/>
      <c r="G3" s="170"/>
      <c r="H3" s="170"/>
      <c r="I3" s="170"/>
      <c r="J3" s="170"/>
      <c r="K3" s="33"/>
      <c r="L3" s="169" t="s">
        <v>105</v>
      </c>
      <c r="M3" s="170"/>
      <c r="N3" s="170"/>
      <c r="O3" s="170"/>
      <c r="P3" s="170"/>
      <c r="Q3" s="170"/>
      <c r="R3" s="169" t="s">
        <v>98</v>
      </c>
      <c r="S3" s="170"/>
      <c r="T3" s="170"/>
      <c r="U3" s="170"/>
      <c r="V3" s="170"/>
      <c r="W3" s="170"/>
      <c r="X3" s="76"/>
    </row>
    <row r="4" spans="1:24" x14ac:dyDescent="0.25">
      <c r="A4" s="164"/>
      <c r="B4" s="167"/>
      <c r="C4" s="24" t="s">
        <v>3</v>
      </c>
      <c r="D4" s="33"/>
      <c r="E4" s="171" t="s">
        <v>99</v>
      </c>
      <c r="F4" s="172"/>
      <c r="G4" s="172"/>
      <c r="H4" s="172"/>
      <c r="I4" s="172"/>
      <c r="J4" s="172"/>
      <c r="K4" s="33"/>
      <c r="L4" s="171" t="s">
        <v>114</v>
      </c>
      <c r="M4" s="172"/>
      <c r="N4" s="172"/>
      <c r="O4" s="172"/>
      <c r="P4" s="172"/>
      <c r="Q4" s="172"/>
      <c r="R4" s="171" t="s">
        <v>99</v>
      </c>
      <c r="S4" s="172"/>
      <c r="T4" s="172"/>
      <c r="U4" s="172"/>
      <c r="V4" s="172"/>
      <c r="W4" s="172"/>
      <c r="X4" s="76"/>
    </row>
    <row r="5" spans="1:24" x14ac:dyDescent="0.25">
      <c r="A5" s="164"/>
      <c r="B5" s="167"/>
      <c r="C5" s="26" t="s">
        <v>96</v>
      </c>
      <c r="D5" s="34"/>
      <c r="E5" s="156" t="s">
        <v>100</v>
      </c>
      <c r="F5" s="156"/>
      <c r="G5" s="156"/>
      <c r="H5" s="156"/>
      <c r="I5" s="156"/>
      <c r="J5" s="156"/>
      <c r="K5" s="35"/>
      <c r="L5" s="156" t="s">
        <v>115</v>
      </c>
      <c r="M5" s="156"/>
      <c r="N5" s="156"/>
      <c r="O5" s="156"/>
      <c r="P5" s="156"/>
      <c r="Q5" s="156"/>
      <c r="R5" s="156" t="s">
        <v>100</v>
      </c>
      <c r="S5" s="156"/>
      <c r="T5" s="156"/>
      <c r="U5" s="156"/>
      <c r="V5" s="156"/>
      <c r="W5" s="156"/>
      <c r="X5" s="76"/>
    </row>
    <row r="6" spans="1:24" ht="15.75" thickBot="1" x14ac:dyDescent="0.3">
      <c r="A6" s="165"/>
      <c r="B6" s="168"/>
      <c r="C6" s="36" t="s">
        <v>65</v>
      </c>
      <c r="D6" s="33"/>
      <c r="E6" s="157" t="s">
        <v>101</v>
      </c>
      <c r="F6" s="158"/>
      <c r="G6" s="158"/>
      <c r="H6" s="158"/>
      <c r="I6" s="158"/>
      <c r="J6" s="159"/>
      <c r="K6" s="33"/>
      <c r="L6" s="157" t="s">
        <v>101</v>
      </c>
      <c r="M6" s="158"/>
      <c r="N6" s="158"/>
      <c r="O6" s="158"/>
      <c r="P6" s="158"/>
      <c r="Q6" s="159"/>
      <c r="R6" s="156" t="s">
        <v>101</v>
      </c>
      <c r="S6" s="156"/>
      <c r="T6" s="156"/>
      <c r="U6" s="156"/>
      <c r="V6" s="156"/>
      <c r="W6" s="156"/>
      <c r="X6" s="76"/>
    </row>
    <row r="7" spans="1:24" ht="15.75" thickBot="1" x14ac:dyDescent="0.3">
      <c r="A7" s="37"/>
      <c r="B7" s="38"/>
      <c r="C7" s="39"/>
      <c r="D7" s="40"/>
      <c r="E7" s="177"/>
      <c r="F7" s="178"/>
      <c r="G7" s="178"/>
      <c r="H7" s="178"/>
      <c r="I7" s="178"/>
      <c r="J7" s="178"/>
      <c r="K7" s="40"/>
      <c r="L7" s="177"/>
      <c r="M7" s="178"/>
      <c r="N7" s="178"/>
      <c r="O7" s="178"/>
      <c r="P7" s="178"/>
      <c r="Q7" s="178"/>
      <c r="R7" s="177"/>
      <c r="S7" s="178"/>
      <c r="T7" s="178"/>
      <c r="U7" s="178"/>
      <c r="V7" s="178"/>
      <c r="W7" s="178"/>
      <c r="X7" s="76"/>
    </row>
    <row r="8" spans="1:24" ht="15" customHeight="1" thickBot="1" x14ac:dyDescent="0.3">
      <c r="A8" s="179" t="s">
        <v>36</v>
      </c>
      <c r="B8" s="180" t="s">
        <v>90</v>
      </c>
      <c r="C8" s="25" t="s">
        <v>5</v>
      </c>
      <c r="D8" s="40"/>
      <c r="E8" s="173" t="s">
        <v>165</v>
      </c>
      <c r="F8" s="174"/>
      <c r="G8" s="174"/>
      <c r="H8" s="174"/>
      <c r="I8" s="174"/>
      <c r="J8" s="174"/>
      <c r="K8" s="40"/>
      <c r="L8" s="173" t="s">
        <v>166</v>
      </c>
      <c r="M8" s="174"/>
      <c r="N8" s="174"/>
      <c r="O8" s="174"/>
      <c r="P8" s="174"/>
      <c r="Q8" s="174"/>
      <c r="R8" s="173" t="s">
        <v>179</v>
      </c>
      <c r="S8" s="174"/>
      <c r="T8" s="174"/>
      <c r="U8" s="174"/>
      <c r="V8" s="174"/>
      <c r="W8" s="174"/>
      <c r="X8" s="76"/>
    </row>
    <row r="9" spans="1:24" ht="15.75" thickBot="1" x14ac:dyDescent="0.3">
      <c r="A9" s="179"/>
      <c r="B9" s="180"/>
      <c r="C9" s="41" t="s">
        <v>6</v>
      </c>
      <c r="D9" s="40"/>
      <c r="E9" s="173" t="s">
        <v>165</v>
      </c>
      <c r="F9" s="174"/>
      <c r="G9" s="174"/>
      <c r="H9" s="174"/>
      <c r="I9" s="174"/>
      <c r="J9" s="174"/>
      <c r="K9" s="40"/>
      <c r="L9" s="173" t="s">
        <v>166</v>
      </c>
      <c r="M9" s="174"/>
      <c r="N9" s="174"/>
      <c r="O9" s="174"/>
      <c r="P9" s="174"/>
      <c r="Q9" s="174"/>
      <c r="R9" s="173" t="s">
        <v>180</v>
      </c>
      <c r="S9" s="174"/>
      <c r="T9" s="174"/>
      <c r="U9" s="174"/>
      <c r="V9" s="174"/>
      <c r="W9" s="174"/>
      <c r="X9" s="76"/>
    </row>
    <row r="10" spans="1:24" ht="15.75" thickBot="1" x14ac:dyDescent="0.3">
      <c r="A10" s="179"/>
      <c r="B10" s="180"/>
      <c r="C10" s="42" t="s">
        <v>7</v>
      </c>
      <c r="D10" s="40"/>
      <c r="E10" s="173" t="s">
        <v>167</v>
      </c>
      <c r="F10" s="174"/>
      <c r="G10" s="174"/>
      <c r="H10" s="174"/>
      <c r="I10" s="174"/>
      <c r="J10" s="174"/>
      <c r="K10" s="40"/>
      <c r="L10" s="173" t="s">
        <v>168</v>
      </c>
      <c r="M10" s="174"/>
      <c r="N10" s="174"/>
      <c r="O10" s="174"/>
      <c r="P10" s="174"/>
      <c r="Q10" s="174"/>
      <c r="R10" s="173" t="s">
        <v>180</v>
      </c>
      <c r="S10" s="174"/>
      <c r="T10" s="174"/>
      <c r="U10" s="174"/>
      <c r="V10" s="174"/>
      <c r="W10" s="174"/>
      <c r="X10" s="76"/>
    </row>
    <row r="11" spans="1:24" ht="15.75" thickBot="1" x14ac:dyDescent="0.3">
      <c r="A11" s="43"/>
      <c r="B11" s="44"/>
      <c r="C11" s="44"/>
      <c r="D11" s="40"/>
      <c r="E11" s="175"/>
      <c r="F11" s="176"/>
      <c r="G11" s="176"/>
      <c r="H11" s="176"/>
      <c r="I11" s="176"/>
      <c r="J11" s="176"/>
      <c r="K11" s="40"/>
      <c r="L11" s="175"/>
      <c r="M11" s="176"/>
      <c r="N11" s="176"/>
      <c r="O11" s="176"/>
      <c r="P11" s="176"/>
      <c r="Q11" s="176"/>
      <c r="R11" s="175"/>
      <c r="S11" s="176"/>
      <c r="T11" s="176"/>
      <c r="U11" s="176"/>
      <c r="V11" s="176"/>
      <c r="W11" s="176"/>
      <c r="X11" s="76"/>
    </row>
    <row r="12" spans="1:24" ht="15" customHeight="1" x14ac:dyDescent="0.25">
      <c r="A12" s="191" t="s">
        <v>8</v>
      </c>
      <c r="B12" s="194" t="s">
        <v>91</v>
      </c>
      <c r="C12" s="45" t="s">
        <v>66</v>
      </c>
      <c r="D12" s="40"/>
      <c r="E12" s="197" t="s">
        <v>135</v>
      </c>
      <c r="F12" s="198"/>
      <c r="G12" s="198"/>
      <c r="H12" s="198"/>
      <c r="I12" s="198"/>
      <c r="J12" s="198"/>
      <c r="K12" s="40"/>
      <c r="L12" s="197" t="s">
        <v>138</v>
      </c>
      <c r="M12" s="198"/>
      <c r="N12" s="198"/>
      <c r="O12" s="198"/>
      <c r="P12" s="198"/>
      <c r="Q12" s="198"/>
      <c r="R12" s="197" t="s">
        <v>139</v>
      </c>
      <c r="S12" s="198"/>
      <c r="T12" s="198"/>
      <c r="U12" s="198"/>
      <c r="V12" s="198"/>
      <c r="W12" s="198"/>
      <c r="X12" s="76"/>
    </row>
    <row r="13" spans="1:24" x14ac:dyDescent="0.25">
      <c r="A13" s="192"/>
      <c r="B13" s="195"/>
      <c r="C13" s="46" t="s">
        <v>169</v>
      </c>
      <c r="D13" s="40"/>
      <c r="E13" s="199" t="s">
        <v>136</v>
      </c>
      <c r="F13" s="200"/>
      <c r="G13" s="200"/>
      <c r="H13" s="200"/>
      <c r="I13" s="200"/>
      <c r="J13" s="200"/>
      <c r="K13" s="40"/>
      <c r="L13" s="199" t="s">
        <v>116</v>
      </c>
      <c r="M13" s="200"/>
      <c r="N13" s="200"/>
      <c r="O13" s="200"/>
      <c r="P13" s="200"/>
      <c r="Q13" s="200"/>
      <c r="R13" s="199" t="s">
        <v>103</v>
      </c>
      <c r="S13" s="200"/>
      <c r="T13" s="200"/>
      <c r="U13" s="200"/>
      <c r="V13" s="200"/>
      <c r="W13" s="200"/>
      <c r="X13" s="76"/>
    </row>
    <row r="14" spans="1:24" ht="15.75" thickBot="1" x14ac:dyDescent="0.3">
      <c r="A14" s="193"/>
      <c r="B14" s="196"/>
      <c r="C14" s="47" t="s">
        <v>10</v>
      </c>
      <c r="D14" s="40"/>
      <c r="E14" s="201" t="s">
        <v>170</v>
      </c>
      <c r="F14" s="202"/>
      <c r="G14" s="202"/>
      <c r="H14" s="202"/>
      <c r="I14" s="202"/>
      <c r="J14" s="202"/>
      <c r="K14" s="40"/>
      <c r="L14" s="201" t="s">
        <v>171</v>
      </c>
      <c r="M14" s="202"/>
      <c r="N14" s="202"/>
      <c r="O14" s="202"/>
      <c r="P14" s="202"/>
      <c r="Q14" s="202"/>
      <c r="R14" s="201" t="s">
        <v>181</v>
      </c>
      <c r="S14" s="202"/>
      <c r="T14" s="202"/>
      <c r="U14" s="202"/>
      <c r="V14" s="202"/>
      <c r="W14" s="202"/>
      <c r="X14" s="76"/>
    </row>
    <row r="15" spans="1:24" ht="15.75" thickBot="1" x14ac:dyDescent="0.3">
      <c r="A15" s="43"/>
      <c r="B15" s="44"/>
      <c r="C15" s="44"/>
      <c r="D15" s="40"/>
      <c r="E15" s="175"/>
      <c r="F15" s="176"/>
      <c r="G15" s="176"/>
      <c r="H15" s="176"/>
      <c r="I15" s="176"/>
      <c r="J15" s="176"/>
      <c r="K15" s="40"/>
      <c r="L15" s="175"/>
      <c r="M15" s="176"/>
      <c r="N15" s="176"/>
      <c r="O15" s="176"/>
      <c r="P15" s="176"/>
      <c r="Q15" s="176"/>
      <c r="R15" s="175"/>
      <c r="S15" s="176"/>
      <c r="T15" s="176"/>
      <c r="U15" s="176"/>
      <c r="V15" s="176"/>
      <c r="W15" s="176"/>
      <c r="X15" s="76"/>
    </row>
    <row r="16" spans="1:24" ht="15.75" customHeight="1" thickBot="1" x14ac:dyDescent="0.3">
      <c r="A16" s="181" t="s">
        <v>11</v>
      </c>
      <c r="B16" s="184" t="s">
        <v>92</v>
      </c>
      <c r="C16" s="48" t="s">
        <v>87</v>
      </c>
      <c r="D16" s="40"/>
      <c r="E16" s="49" t="s">
        <v>32</v>
      </c>
      <c r="F16" s="50" t="s">
        <v>70</v>
      </c>
      <c r="G16" s="187" t="s">
        <v>20</v>
      </c>
      <c r="H16" s="188"/>
      <c r="I16" s="50" t="s">
        <v>89</v>
      </c>
      <c r="J16" s="50" t="s">
        <v>23</v>
      </c>
      <c r="K16" s="40"/>
      <c r="L16" s="49" t="s">
        <v>32</v>
      </c>
      <c r="M16" s="51" t="s">
        <v>70</v>
      </c>
      <c r="N16" s="187" t="s">
        <v>20</v>
      </c>
      <c r="O16" s="188"/>
      <c r="P16" s="50" t="s">
        <v>89</v>
      </c>
      <c r="Q16" s="50" t="s">
        <v>23</v>
      </c>
      <c r="R16" s="49" t="s">
        <v>32</v>
      </c>
      <c r="S16" s="50" t="s">
        <v>70</v>
      </c>
      <c r="T16" s="187" t="s">
        <v>20</v>
      </c>
      <c r="U16" s="188"/>
      <c r="V16" s="50" t="s">
        <v>89</v>
      </c>
      <c r="W16" s="50" t="s">
        <v>23</v>
      </c>
      <c r="X16" s="76"/>
    </row>
    <row r="17" spans="1:24" ht="15" customHeight="1" x14ac:dyDescent="0.25">
      <c r="A17" s="182"/>
      <c r="B17" s="185"/>
      <c r="C17" s="52" t="s">
        <v>12</v>
      </c>
      <c r="D17" s="40"/>
      <c r="E17" s="53" t="s">
        <v>101</v>
      </c>
      <c r="F17" s="54" t="s">
        <v>101</v>
      </c>
      <c r="G17" s="189" t="s">
        <v>101</v>
      </c>
      <c r="H17" s="190"/>
      <c r="I17" s="29" t="s">
        <v>101</v>
      </c>
      <c r="J17" s="29" t="s">
        <v>101</v>
      </c>
      <c r="K17" s="40"/>
      <c r="L17" s="53" t="s">
        <v>101</v>
      </c>
      <c r="M17" s="54" t="s">
        <v>101</v>
      </c>
      <c r="N17" s="189" t="s">
        <v>101</v>
      </c>
      <c r="O17" s="190"/>
      <c r="P17" s="29" t="s">
        <v>101</v>
      </c>
      <c r="Q17" s="29" t="s">
        <v>101</v>
      </c>
      <c r="R17" s="53" t="s">
        <v>101</v>
      </c>
      <c r="S17" s="54" t="s">
        <v>101</v>
      </c>
      <c r="T17" s="189" t="s">
        <v>101</v>
      </c>
      <c r="U17" s="190"/>
      <c r="V17" s="53" t="s">
        <v>101</v>
      </c>
      <c r="W17" s="53" t="s">
        <v>101</v>
      </c>
      <c r="X17" s="76"/>
    </row>
    <row r="18" spans="1:24" x14ac:dyDescent="0.25">
      <c r="A18" s="182"/>
      <c r="B18" s="185"/>
      <c r="C18" s="55" t="s">
        <v>13</v>
      </c>
      <c r="D18" s="40"/>
      <c r="E18" s="53" t="s">
        <v>101</v>
      </c>
      <c r="F18" s="54" t="s">
        <v>101</v>
      </c>
      <c r="G18" s="189" t="s">
        <v>101</v>
      </c>
      <c r="H18" s="190"/>
      <c r="I18" s="29" t="s">
        <v>101</v>
      </c>
      <c r="J18" s="29" t="s">
        <v>101</v>
      </c>
      <c r="K18" s="40"/>
      <c r="L18" s="53" t="s">
        <v>101</v>
      </c>
      <c r="M18" s="54" t="s">
        <v>101</v>
      </c>
      <c r="N18" s="189" t="s">
        <v>101</v>
      </c>
      <c r="O18" s="190"/>
      <c r="P18" s="29" t="s">
        <v>101</v>
      </c>
      <c r="Q18" s="29" t="s">
        <v>101</v>
      </c>
      <c r="R18" s="53" t="s">
        <v>101</v>
      </c>
      <c r="S18" s="54" t="s">
        <v>101</v>
      </c>
      <c r="T18" s="189" t="s">
        <v>101</v>
      </c>
      <c r="U18" s="190"/>
      <c r="V18" s="29" t="s">
        <v>101</v>
      </c>
      <c r="W18" s="29" t="s">
        <v>101</v>
      </c>
      <c r="X18" s="76"/>
    </row>
    <row r="19" spans="1:24" x14ac:dyDescent="0.25">
      <c r="A19" s="182"/>
      <c r="B19" s="185"/>
      <c r="C19" s="55" t="s">
        <v>14</v>
      </c>
      <c r="D19" s="40"/>
      <c r="E19" s="53" t="s">
        <v>101</v>
      </c>
      <c r="F19" s="54" t="s">
        <v>101</v>
      </c>
      <c r="G19" s="189" t="s">
        <v>101</v>
      </c>
      <c r="H19" s="190"/>
      <c r="I19" s="29" t="s">
        <v>101</v>
      </c>
      <c r="J19" s="29" t="s">
        <v>101</v>
      </c>
      <c r="K19" s="40"/>
      <c r="L19" s="53" t="s">
        <v>101</v>
      </c>
      <c r="M19" s="54" t="s">
        <v>101</v>
      </c>
      <c r="N19" s="189" t="s">
        <v>101</v>
      </c>
      <c r="O19" s="190"/>
      <c r="P19" s="29" t="s">
        <v>101</v>
      </c>
      <c r="Q19" s="29" t="s">
        <v>101</v>
      </c>
      <c r="R19" s="53" t="s">
        <v>101</v>
      </c>
      <c r="S19" s="54" t="s">
        <v>101</v>
      </c>
      <c r="T19" s="189" t="s">
        <v>101</v>
      </c>
      <c r="U19" s="190"/>
      <c r="V19" s="29" t="s">
        <v>101</v>
      </c>
      <c r="W19" s="29" t="s">
        <v>101</v>
      </c>
      <c r="X19" s="76"/>
    </row>
    <row r="20" spans="1:24" x14ac:dyDescent="0.25">
      <c r="A20" s="182"/>
      <c r="B20" s="185"/>
      <c r="C20" s="55" t="s">
        <v>15</v>
      </c>
      <c r="D20" s="40"/>
      <c r="E20" s="56" t="s">
        <v>102</v>
      </c>
      <c r="F20" s="57" t="s">
        <v>197</v>
      </c>
      <c r="G20" s="203" t="s">
        <v>140</v>
      </c>
      <c r="H20" s="204"/>
      <c r="I20" s="92" t="s">
        <v>147</v>
      </c>
      <c r="J20" s="29" t="s">
        <v>172</v>
      </c>
      <c r="K20" s="40"/>
      <c r="L20" s="56" t="s">
        <v>102</v>
      </c>
      <c r="M20" s="57" t="s">
        <v>145</v>
      </c>
      <c r="N20" s="203" t="s">
        <v>146</v>
      </c>
      <c r="O20" s="204"/>
      <c r="P20" s="58" t="s">
        <v>147</v>
      </c>
      <c r="Q20" s="29" t="s">
        <v>173</v>
      </c>
      <c r="R20" s="53" t="s">
        <v>101</v>
      </c>
      <c r="S20" s="53" t="s">
        <v>101</v>
      </c>
      <c r="T20" s="189" t="s">
        <v>101</v>
      </c>
      <c r="U20" s="190"/>
      <c r="V20" s="53" t="s">
        <v>101</v>
      </c>
      <c r="W20" s="53" t="s">
        <v>101</v>
      </c>
      <c r="X20" s="76"/>
    </row>
    <row r="21" spans="1:24" x14ac:dyDescent="0.25">
      <c r="A21" s="182"/>
      <c r="B21" s="185"/>
      <c r="C21" s="55" t="s">
        <v>16</v>
      </c>
      <c r="D21" s="40"/>
      <c r="E21" s="53" t="s">
        <v>101</v>
      </c>
      <c r="F21" s="54" t="s">
        <v>101</v>
      </c>
      <c r="G21" s="189" t="s">
        <v>101</v>
      </c>
      <c r="H21" s="190"/>
      <c r="I21" s="29" t="s">
        <v>101</v>
      </c>
      <c r="J21" s="29" t="s">
        <v>101</v>
      </c>
      <c r="K21" s="40"/>
      <c r="L21" s="53" t="s">
        <v>101</v>
      </c>
      <c r="M21" s="54" t="s">
        <v>101</v>
      </c>
      <c r="N21" s="189" t="s">
        <v>101</v>
      </c>
      <c r="O21" s="190"/>
      <c r="P21" s="29" t="s">
        <v>101</v>
      </c>
      <c r="Q21" s="29" t="s">
        <v>101</v>
      </c>
      <c r="R21" s="53" t="s">
        <v>101</v>
      </c>
      <c r="S21" s="54" t="s">
        <v>101</v>
      </c>
      <c r="T21" s="189" t="s">
        <v>101</v>
      </c>
      <c r="U21" s="190"/>
      <c r="V21" s="29" t="s">
        <v>101</v>
      </c>
      <c r="W21" s="29" t="s">
        <v>101</v>
      </c>
      <c r="X21" s="76"/>
    </row>
    <row r="22" spans="1:24" x14ac:dyDescent="0.25">
      <c r="A22" s="182"/>
      <c r="B22" s="185"/>
      <c r="C22" s="55" t="s">
        <v>17</v>
      </c>
      <c r="D22" s="40"/>
      <c r="E22" s="53" t="s">
        <v>102</v>
      </c>
      <c r="F22" s="54" t="s">
        <v>196</v>
      </c>
      <c r="G22" s="189" t="s">
        <v>137</v>
      </c>
      <c r="H22" s="190"/>
      <c r="I22" s="29">
        <v>200</v>
      </c>
      <c r="J22" s="29" t="s">
        <v>148</v>
      </c>
      <c r="K22" s="40"/>
      <c r="L22" s="53" t="s">
        <v>102</v>
      </c>
      <c r="M22" s="54" t="s">
        <v>196</v>
      </c>
      <c r="N22" s="189" t="s">
        <v>137</v>
      </c>
      <c r="O22" s="190"/>
      <c r="P22" s="29" t="s">
        <v>124</v>
      </c>
      <c r="Q22" s="29" t="s">
        <v>148</v>
      </c>
      <c r="R22" s="53" t="s">
        <v>101</v>
      </c>
      <c r="S22" s="54" t="s">
        <v>101</v>
      </c>
      <c r="T22" s="189" t="s">
        <v>101</v>
      </c>
      <c r="U22" s="190"/>
      <c r="V22" s="29" t="s">
        <v>101</v>
      </c>
      <c r="W22" s="29" t="s">
        <v>101</v>
      </c>
      <c r="X22" s="76"/>
    </row>
    <row r="23" spans="1:24" ht="15.75" thickBot="1" x14ac:dyDescent="0.3">
      <c r="A23" s="182"/>
      <c r="B23" s="185"/>
      <c r="C23" s="59" t="s">
        <v>117</v>
      </c>
      <c r="D23" s="40"/>
      <c r="E23" s="53" t="s">
        <v>101</v>
      </c>
      <c r="F23" s="54" t="s">
        <v>101</v>
      </c>
      <c r="G23" s="189" t="s">
        <v>101</v>
      </c>
      <c r="H23" s="190"/>
      <c r="I23" s="29" t="s">
        <v>101</v>
      </c>
      <c r="J23" s="29" t="s">
        <v>101</v>
      </c>
      <c r="K23" s="40"/>
      <c r="L23" s="53" t="s">
        <v>101</v>
      </c>
      <c r="M23" s="54" t="s">
        <v>101</v>
      </c>
      <c r="N23" s="189" t="s">
        <v>101</v>
      </c>
      <c r="O23" s="190"/>
      <c r="P23" s="29" t="s">
        <v>101</v>
      </c>
      <c r="Q23" s="29" t="s">
        <v>101</v>
      </c>
      <c r="R23" s="53" t="s">
        <v>101</v>
      </c>
      <c r="S23" s="54" t="s">
        <v>101</v>
      </c>
      <c r="T23" s="189" t="s">
        <v>101</v>
      </c>
      <c r="U23" s="190"/>
      <c r="V23" s="29" t="s">
        <v>101</v>
      </c>
      <c r="W23" s="29" t="s">
        <v>101</v>
      </c>
      <c r="X23" s="76"/>
    </row>
    <row r="24" spans="1:24" ht="18" thickBot="1" x14ac:dyDescent="0.3">
      <c r="A24" s="182"/>
      <c r="B24" s="185"/>
      <c r="C24" s="48" t="s">
        <v>85</v>
      </c>
      <c r="D24" s="40"/>
      <c r="E24" s="49" t="s">
        <v>32</v>
      </c>
      <c r="F24" s="50" t="s">
        <v>86</v>
      </c>
      <c r="G24" s="187" t="s">
        <v>20</v>
      </c>
      <c r="H24" s="188"/>
      <c r="I24" s="50" t="s">
        <v>174</v>
      </c>
      <c r="J24" s="50" t="s">
        <v>23</v>
      </c>
      <c r="K24" s="40"/>
      <c r="L24" s="49" t="s">
        <v>32</v>
      </c>
      <c r="M24" s="50" t="s">
        <v>86</v>
      </c>
      <c r="N24" s="187" t="s">
        <v>20</v>
      </c>
      <c r="O24" s="188"/>
      <c r="P24" s="50" t="s">
        <v>174</v>
      </c>
      <c r="Q24" s="50" t="s">
        <v>23</v>
      </c>
      <c r="R24" s="49" t="s">
        <v>32</v>
      </c>
      <c r="S24" s="50" t="s">
        <v>86</v>
      </c>
      <c r="T24" s="187" t="s">
        <v>20</v>
      </c>
      <c r="U24" s="188"/>
      <c r="V24" s="50" t="s">
        <v>174</v>
      </c>
      <c r="W24" s="50" t="s">
        <v>23</v>
      </c>
      <c r="X24" s="76"/>
    </row>
    <row r="25" spans="1:24" x14ac:dyDescent="0.25">
      <c r="A25" s="182"/>
      <c r="B25" s="185"/>
      <c r="C25" s="52" t="s">
        <v>19</v>
      </c>
      <c r="D25" s="40"/>
      <c r="E25" s="53" t="s">
        <v>101</v>
      </c>
      <c r="F25" s="54" t="s">
        <v>101</v>
      </c>
      <c r="G25" s="189" t="s">
        <v>101</v>
      </c>
      <c r="H25" s="190"/>
      <c r="I25" s="29" t="s">
        <v>101</v>
      </c>
      <c r="J25" s="29" t="s">
        <v>101</v>
      </c>
      <c r="K25" s="40"/>
      <c r="L25" s="53" t="s">
        <v>101</v>
      </c>
      <c r="M25" s="54" t="s">
        <v>101</v>
      </c>
      <c r="N25" s="189" t="s">
        <v>101</v>
      </c>
      <c r="O25" s="190"/>
      <c r="P25" s="29" t="s">
        <v>101</v>
      </c>
      <c r="Q25" s="29" t="s">
        <v>101</v>
      </c>
      <c r="R25" s="53" t="s">
        <v>101</v>
      </c>
      <c r="S25" s="54" t="s">
        <v>101</v>
      </c>
      <c r="T25" s="189" t="s">
        <v>101</v>
      </c>
      <c r="U25" s="190"/>
      <c r="V25" s="29" t="s">
        <v>101</v>
      </c>
      <c r="W25" s="29" t="s">
        <v>101</v>
      </c>
      <c r="X25" s="76"/>
    </row>
    <row r="26" spans="1:24" ht="15.75" thickBot="1" x14ac:dyDescent="0.3">
      <c r="A26" s="183"/>
      <c r="B26" s="186"/>
      <c r="C26" s="60" t="s">
        <v>18</v>
      </c>
      <c r="D26" s="40"/>
      <c r="E26" s="53" t="s">
        <v>101</v>
      </c>
      <c r="F26" s="54" t="s">
        <v>101</v>
      </c>
      <c r="G26" s="189" t="s">
        <v>101</v>
      </c>
      <c r="H26" s="190"/>
      <c r="I26" s="29" t="s">
        <v>101</v>
      </c>
      <c r="J26" s="29" t="s">
        <v>101</v>
      </c>
      <c r="K26" s="40"/>
      <c r="L26" s="53" t="s">
        <v>101</v>
      </c>
      <c r="M26" s="54" t="s">
        <v>101</v>
      </c>
      <c r="N26" s="189" t="s">
        <v>101</v>
      </c>
      <c r="O26" s="190"/>
      <c r="P26" s="29" t="s">
        <v>101</v>
      </c>
      <c r="Q26" s="29" t="s">
        <v>101</v>
      </c>
      <c r="R26" s="53" t="s">
        <v>101</v>
      </c>
      <c r="S26" s="54" t="s">
        <v>101</v>
      </c>
      <c r="T26" s="189" t="s">
        <v>101</v>
      </c>
      <c r="U26" s="190"/>
      <c r="V26" s="29" t="s">
        <v>101</v>
      </c>
      <c r="W26" s="29" t="s">
        <v>101</v>
      </c>
      <c r="X26" s="76"/>
    </row>
    <row r="27" spans="1:24" ht="15.75" thickBot="1" x14ac:dyDescent="0.3">
      <c r="A27" s="61"/>
      <c r="B27" s="44"/>
      <c r="C27" s="44"/>
      <c r="D27" s="40"/>
      <c r="E27" s="175"/>
      <c r="F27" s="176"/>
      <c r="G27" s="176"/>
      <c r="H27" s="176"/>
      <c r="I27" s="176"/>
      <c r="J27" s="176"/>
      <c r="K27" s="40"/>
      <c r="L27" s="175"/>
      <c r="M27" s="176"/>
      <c r="N27" s="176"/>
      <c r="O27" s="176"/>
      <c r="P27" s="176"/>
      <c r="Q27" s="176"/>
      <c r="R27" s="175"/>
      <c r="S27" s="176"/>
      <c r="T27" s="176"/>
      <c r="U27" s="176"/>
      <c r="V27" s="176"/>
      <c r="W27" s="176"/>
      <c r="X27" s="76"/>
    </row>
    <row r="28" spans="1:24" ht="60" customHeight="1" thickBot="1" x14ac:dyDescent="0.3">
      <c r="A28" s="206" t="s">
        <v>21</v>
      </c>
      <c r="B28" s="184" t="s">
        <v>93</v>
      </c>
      <c r="C28" s="48"/>
      <c r="D28" s="40"/>
      <c r="E28" s="62" t="s">
        <v>32</v>
      </c>
      <c r="F28" s="50" t="s">
        <v>20</v>
      </c>
      <c r="G28" s="187" t="s">
        <v>88</v>
      </c>
      <c r="H28" s="188"/>
      <c r="I28" s="209" t="s">
        <v>23</v>
      </c>
      <c r="J28" s="209"/>
      <c r="K28" s="40"/>
      <c r="L28" s="62" t="s">
        <v>32</v>
      </c>
      <c r="M28" s="50" t="s">
        <v>20</v>
      </c>
      <c r="N28" s="187" t="s">
        <v>88</v>
      </c>
      <c r="O28" s="188"/>
      <c r="P28" s="209" t="s">
        <v>23</v>
      </c>
      <c r="Q28" s="209"/>
      <c r="R28" s="62" t="s">
        <v>32</v>
      </c>
      <c r="S28" s="50" t="s">
        <v>20</v>
      </c>
      <c r="T28" s="187" t="s">
        <v>88</v>
      </c>
      <c r="U28" s="188"/>
      <c r="V28" s="209" t="s">
        <v>23</v>
      </c>
      <c r="W28" s="209"/>
      <c r="X28" s="76"/>
    </row>
    <row r="29" spans="1:24" ht="17.25" customHeight="1" x14ac:dyDescent="0.25">
      <c r="A29" s="207"/>
      <c r="B29" s="185"/>
      <c r="C29" s="52" t="s">
        <v>24</v>
      </c>
      <c r="D29" s="40"/>
      <c r="E29" s="63" t="s">
        <v>141</v>
      </c>
      <c r="F29" s="29" t="s">
        <v>142</v>
      </c>
      <c r="G29" s="189" t="s">
        <v>143</v>
      </c>
      <c r="H29" s="190"/>
      <c r="I29" s="205" t="s">
        <v>132</v>
      </c>
      <c r="J29" s="205"/>
      <c r="K29" s="40"/>
      <c r="L29" s="63" t="s">
        <v>122</v>
      </c>
      <c r="M29" s="29" t="s">
        <v>118</v>
      </c>
      <c r="N29" s="189" t="s">
        <v>119</v>
      </c>
      <c r="O29" s="190"/>
      <c r="P29" s="205" t="s">
        <v>175</v>
      </c>
      <c r="Q29" s="205"/>
      <c r="R29" s="63" t="s">
        <v>156</v>
      </c>
      <c r="S29" s="29" t="s">
        <v>109</v>
      </c>
      <c r="T29" s="189" t="s">
        <v>157</v>
      </c>
      <c r="U29" s="190"/>
      <c r="V29" s="205" t="s">
        <v>172</v>
      </c>
      <c r="W29" s="205"/>
      <c r="X29" s="76"/>
    </row>
    <row r="30" spans="1:24" ht="17.25" customHeight="1" x14ac:dyDescent="0.25">
      <c r="A30" s="207"/>
      <c r="B30" s="185"/>
      <c r="C30" s="52" t="s">
        <v>24</v>
      </c>
      <c r="D30" s="40"/>
      <c r="E30" s="63" t="s">
        <v>125</v>
      </c>
      <c r="F30" s="29" t="s">
        <v>110</v>
      </c>
      <c r="G30" s="189" t="s">
        <v>144</v>
      </c>
      <c r="H30" s="190"/>
      <c r="I30" s="205" t="s">
        <v>176</v>
      </c>
      <c r="J30" s="205"/>
      <c r="K30" s="40"/>
      <c r="L30" s="63" t="s">
        <v>101</v>
      </c>
      <c r="M30" s="54" t="s">
        <v>101</v>
      </c>
      <c r="N30" s="189" t="s">
        <v>101</v>
      </c>
      <c r="O30" s="190"/>
      <c r="P30" s="29" t="s">
        <v>101</v>
      </c>
      <c r="Q30" s="29" t="s">
        <v>101</v>
      </c>
      <c r="R30" s="63" t="s">
        <v>185</v>
      </c>
      <c r="S30" s="58" t="s">
        <v>110</v>
      </c>
      <c r="T30" s="77" t="s">
        <v>158</v>
      </c>
      <c r="U30" s="63"/>
      <c r="V30" s="189" t="s">
        <v>148</v>
      </c>
      <c r="W30" s="258"/>
      <c r="X30" s="190"/>
    </row>
    <row r="31" spans="1:24" ht="17.25" customHeight="1" x14ac:dyDescent="0.25">
      <c r="A31" s="207"/>
      <c r="B31" s="185"/>
      <c r="C31" s="55" t="s">
        <v>24</v>
      </c>
      <c r="D31" s="40"/>
      <c r="E31" s="64" t="s">
        <v>129</v>
      </c>
      <c r="F31" s="58" t="s">
        <v>128</v>
      </c>
      <c r="G31" s="203" t="s">
        <v>126</v>
      </c>
      <c r="H31" s="204"/>
      <c r="I31" s="205" t="s">
        <v>176</v>
      </c>
      <c r="J31" s="205"/>
      <c r="K31" s="40"/>
      <c r="L31" s="53" t="s">
        <v>101</v>
      </c>
      <c r="M31" s="54" t="s">
        <v>101</v>
      </c>
      <c r="N31" s="189" t="s">
        <v>101</v>
      </c>
      <c r="O31" s="190"/>
      <c r="P31" s="29" t="s">
        <v>101</v>
      </c>
      <c r="Q31" s="29" t="s">
        <v>101</v>
      </c>
      <c r="R31" s="64" t="s">
        <v>121</v>
      </c>
      <c r="S31" s="58" t="s">
        <v>110</v>
      </c>
      <c r="T31" s="203" t="s">
        <v>111</v>
      </c>
      <c r="U31" s="204"/>
      <c r="V31" s="203" t="s">
        <v>182</v>
      </c>
      <c r="W31" s="204"/>
      <c r="X31" s="76"/>
    </row>
    <row r="32" spans="1:24" x14ac:dyDescent="0.25">
      <c r="A32" s="207"/>
      <c r="B32" s="185"/>
      <c r="C32" s="55" t="s">
        <v>25</v>
      </c>
      <c r="D32" s="40"/>
      <c r="E32" s="53" t="s">
        <v>101</v>
      </c>
      <c r="F32" s="54" t="s">
        <v>101</v>
      </c>
      <c r="G32" s="189" t="s">
        <v>101</v>
      </c>
      <c r="H32" s="190"/>
      <c r="I32" s="29" t="s">
        <v>101</v>
      </c>
      <c r="J32" s="29" t="s">
        <v>101</v>
      </c>
      <c r="K32" s="40"/>
      <c r="L32" s="64" t="s">
        <v>149</v>
      </c>
      <c r="M32" s="58" t="s">
        <v>152</v>
      </c>
      <c r="N32" s="203" t="s">
        <v>150</v>
      </c>
      <c r="O32" s="204"/>
      <c r="P32" s="205" t="s">
        <v>154</v>
      </c>
      <c r="Q32" s="205"/>
      <c r="R32" s="53" t="s">
        <v>101</v>
      </c>
      <c r="S32" s="54" t="s">
        <v>101</v>
      </c>
      <c r="T32" s="189" t="s">
        <v>101</v>
      </c>
      <c r="U32" s="190"/>
      <c r="V32" s="29" t="s">
        <v>101</v>
      </c>
      <c r="W32" s="29" t="s">
        <v>101</v>
      </c>
      <c r="X32" s="76"/>
    </row>
    <row r="33" spans="1:24" x14ac:dyDescent="0.25">
      <c r="A33" s="207"/>
      <c r="B33" s="185"/>
      <c r="C33" s="55" t="s">
        <v>188</v>
      </c>
      <c r="D33" s="40"/>
      <c r="E33" s="53" t="s">
        <v>101</v>
      </c>
      <c r="F33" s="54" t="s">
        <v>101</v>
      </c>
      <c r="G33" s="189" t="s">
        <v>101</v>
      </c>
      <c r="H33" s="190"/>
      <c r="I33" s="29" t="s">
        <v>101</v>
      </c>
      <c r="J33" s="29" t="s">
        <v>101</v>
      </c>
      <c r="K33" s="40"/>
      <c r="L33" s="53" t="s">
        <v>151</v>
      </c>
      <c r="M33" s="58" t="s">
        <v>184</v>
      </c>
      <c r="N33" s="189" t="s">
        <v>153</v>
      </c>
      <c r="O33" s="190"/>
      <c r="P33" s="205" t="s">
        <v>176</v>
      </c>
      <c r="Q33" s="205"/>
      <c r="R33" s="53" t="s">
        <v>189</v>
      </c>
      <c r="S33" s="54" t="s">
        <v>160</v>
      </c>
      <c r="T33" s="189" t="s">
        <v>190</v>
      </c>
      <c r="U33" s="190"/>
      <c r="V33" s="203" t="s">
        <v>161</v>
      </c>
      <c r="W33" s="204"/>
      <c r="X33" s="76"/>
    </row>
    <row r="34" spans="1:24" x14ac:dyDescent="0.25">
      <c r="A34" s="207"/>
      <c r="B34" s="185"/>
      <c r="C34" s="55" t="s">
        <v>188</v>
      </c>
      <c r="D34" s="40"/>
      <c r="E34" s="53" t="s">
        <v>101</v>
      </c>
      <c r="F34" s="54" t="s">
        <v>101</v>
      </c>
      <c r="G34" s="189" t="s">
        <v>101</v>
      </c>
      <c r="H34" s="190"/>
      <c r="I34" s="29" t="s">
        <v>101</v>
      </c>
      <c r="J34" s="29" t="s">
        <v>101</v>
      </c>
      <c r="K34" s="40"/>
      <c r="L34" s="53" t="s">
        <v>101</v>
      </c>
      <c r="M34" s="54" t="s">
        <v>101</v>
      </c>
      <c r="N34" s="189" t="s">
        <v>101</v>
      </c>
      <c r="O34" s="190"/>
      <c r="P34" s="29" t="s">
        <v>101</v>
      </c>
      <c r="Q34" s="29" t="s">
        <v>101</v>
      </c>
      <c r="R34" s="53" t="s">
        <v>162</v>
      </c>
      <c r="S34" s="54" t="s">
        <v>160</v>
      </c>
      <c r="T34" s="189" t="s">
        <v>163</v>
      </c>
      <c r="U34" s="190"/>
      <c r="V34" s="203" t="s">
        <v>164</v>
      </c>
      <c r="W34" s="204"/>
      <c r="X34" s="76"/>
    </row>
    <row r="35" spans="1:24" ht="15.75" thickBot="1" x14ac:dyDescent="0.3">
      <c r="A35" s="207"/>
      <c r="B35" s="185"/>
      <c r="C35" s="60" t="s">
        <v>22</v>
      </c>
      <c r="D35" s="40"/>
      <c r="E35" s="53" t="s">
        <v>101</v>
      </c>
      <c r="F35" s="54" t="s">
        <v>101</v>
      </c>
      <c r="G35" s="189" t="s">
        <v>101</v>
      </c>
      <c r="H35" s="190"/>
      <c r="I35" s="29" t="s">
        <v>101</v>
      </c>
      <c r="J35" s="29" t="s">
        <v>101</v>
      </c>
      <c r="K35" s="40"/>
      <c r="L35" s="53" t="s">
        <v>101</v>
      </c>
      <c r="M35" s="54" t="s">
        <v>101</v>
      </c>
      <c r="N35" s="189" t="s">
        <v>101</v>
      </c>
      <c r="O35" s="190"/>
      <c r="P35" s="29" t="s">
        <v>101</v>
      </c>
      <c r="Q35" s="29" t="s">
        <v>101</v>
      </c>
      <c r="R35" s="53" t="s">
        <v>101</v>
      </c>
      <c r="S35" s="54" t="s">
        <v>101</v>
      </c>
      <c r="T35" s="189" t="s">
        <v>101</v>
      </c>
      <c r="U35" s="190"/>
      <c r="V35" s="29" t="s">
        <v>101</v>
      </c>
      <c r="W35" s="29" t="s">
        <v>101</v>
      </c>
      <c r="X35" s="76"/>
    </row>
    <row r="36" spans="1:24" s="19" customFormat="1" ht="15.75" thickBot="1" x14ac:dyDescent="0.3">
      <c r="A36" s="208"/>
      <c r="B36" s="186"/>
      <c r="C36" s="48" t="s">
        <v>67</v>
      </c>
      <c r="D36" s="65"/>
      <c r="E36" s="210" t="s">
        <v>108</v>
      </c>
      <c r="F36" s="211"/>
      <c r="G36" s="211"/>
      <c r="H36" s="188"/>
      <c r="I36" s="212" t="s">
        <v>195</v>
      </c>
      <c r="J36" s="212"/>
      <c r="K36" s="65"/>
      <c r="L36" s="211" t="s">
        <v>101</v>
      </c>
      <c r="M36" s="211"/>
      <c r="N36" s="211"/>
      <c r="O36" s="188"/>
      <c r="P36" s="212" t="s">
        <v>101</v>
      </c>
      <c r="Q36" s="212"/>
      <c r="R36" s="210" t="s">
        <v>101</v>
      </c>
      <c r="S36" s="211"/>
      <c r="T36" s="211"/>
      <c r="U36" s="188"/>
      <c r="V36" s="212" t="s">
        <v>101</v>
      </c>
      <c r="W36" s="212"/>
      <c r="X36" s="78"/>
    </row>
    <row r="37" spans="1:24" ht="15.75" thickBot="1" x14ac:dyDescent="0.3">
      <c r="A37" s="43"/>
      <c r="B37" s="44"/>
      <c r="C37" s="44"/>
      <c r="D37" s="40"/>
      <c r="E37" s="175"/>
      <c r="F37" s="176"/>
      <c r="G37" s="176"/>
      <c r="H37" s="176"/>
      <c r="I37" s="176"/>
      <c r="J37" s="176"/>
      <c r="K37" s="40"/>
      <c r="L37" s="175"/>
      <c r="M37" s="176"/>
      <c r="N37" s="176"/>
      <c r="O37" s="176"/>
      <c r="P37" s="176"/>
      <c r="Q37" s="176"/>
      <c r="R37" s="175"/>
      <c r="S37" s="176"/>
      <c r="T37" s="176"/>
      <c r="U37" s="176"/>
      <c r="V37" s="176"/>
      <c r="W37" s="176"/>
      <c r="X37" s="76"/>
    </row>
    <row r="38" spans="1:24" ht="15.75" customHeight="1" thickBot="1" x14ac:dyDescent="0.3">
      <c r="A38" s="231" t="s">
        <v>26</v>
      </c>
      <c r="B38" s="232" t="s">
        <v>94</v>
      </c>
      <c r="C38" s="45"/>
      <c r="D38" s="66" t="s">
        <v>9</v>
      </c>
      <c r="E38" s="218" t="s">
        <v>9</v>
      </c>
      <c r="F38" s="219"/>
      <c r="G38" s="220" t="s">
        <v>10</v>
      </c>
      <c r="H38" s="220"/>
      <c r="I38" s="220"/>
      <c r="J38" s="220"/>
      <c r="K38" s="66"/>
      <c r="L38" s="218" t="s">
        <v>9</v>
      </c>
      <c r="M38" s="219"/>
      <c r="N38" s="220" t="s">
        <v>10</v>
      </c>
      <c r="O38" s="220"/>
      <c r="P38" s="220"/>
      <c r="Q38" s="220"/>
      <c r="R38" s="218" t="s">
        <v>9</v>
      </c>
      <c r="S38" s="219"/>
      <c r="T38" s="220" t="s">
        <v>10</v>
      </c>
      <c r="U38" s="220"/>
      <c r="V38" s="220"/>
      <c r="W38" s="220"/>
      <c r="X38" s="76"/>
    </row>
    <row r="39" spans="1:24" ht="15" customHeight="1" x14ac:dyDescent="0.25">
      <c r="A39" s="231"/>
      <c r="B39" s="233"/>
      <c r="C39" s="46" t="s">
        <v>27</v>
      </c>
      <c r="D39" s="40"/>
      <c r="E39" s="215" t="s">
        <v>102</v>
      </c>
      <c r="F39" s="216"/>
      <c r="G39" s="200" t="s">
        <v>177</v>
      </c>
      <c r="H39" s="200"/>
      <c r="I39" s="200"/>
      <c r="J39" s="200"/>
      <c r="K39" s="40"/>
      <c r="L39" s="215" t="s">
        <v>102</v>
      </c>
      <c r="M39" s="216"/>
      <c r="N39" s="217" t="s">
        <v>178</v>
      </c>
      <c r="O39" s="217"/>
      <c r="P39" s="217"/>
      <c r="Q39" s="217"/>
      <c r="R39" s="215" t="s">
        <v>104</v>
      </c>
      <c r="S39" s="216"/>
      <c r="T39" s="217" t="s">
        <v>183</v>
      </c>
      <c r="U39" s="217"/>
      <c r="V39" s="217"/>
      <c r="W39" s="217"/>
      <c r="X39" s="76"/>
    </row>
    <row r="40" spans="1:24" x14ac:dyDescent="0.25">
      <c r="A40" s="231"/>
      <c r="B40" s="233"/>
      <c r="C40" s="46" t="s">
        <v>28</v>
      </c>
      <c r="D40" s="40"/>
      <c r="E40" s="213" t="s">
        <v>101</v>
      </c>
      <c r="F40" s="214"/>
      <c r="G40" s="200" t="s">
        <v>101</v>
      </c>
      <c r="H40" s="200"/>
      <c r="I40" s="200"/>
      <c r="J40" s="200"/>
      <c r="K40" s="40"/>
      <c r="L40" s="213" t="s">
        <v>101</v>
      </c>
      <c r="M40" s="214"/>
      <c r="N40" s="200" t="s">
        <v>101</v>
      </c>
      <c r="O40" s="200"/>
      <c r="P40" s="200"/>
      <c r="Q40" s="200"/>
      <c r="R40" s="213" t="s">
        <v>101</v>
      </c>
      <c r="S40" s="214"/>
      <c r="T40" s="200" t="s">
        <v>101</v>
      </c>
      <c r="U40" s="200"/>
      <c r="V40" s="200"/>
      <c r="W40" s="200"/>
      <c r="X40" s="76"/>
    </row>
    <row r="41" spans="1:24" ht="15.75" thickBot="1" x14ac:dyDescent="0.3">
      <c r="A41" s="231"/>
      <c r="B41" s="234"/>
      <c r="C41" s="47" t="s">
        <v>29</v>
      </c>
      <c r="D41" s="40"/>
      <c r="E41" s="229" t="s">
        <v>101</v>
      </c>
      <c r="F41" s="230"/>
      <c r="G41" s="202" t="s">
        <v>101</v>
      </c>
      <c r="H41" s="202"/>
      <c r="I41" s="202"/>
      <c r="J41" s="202"/>
      <c r="K41" s="40"/>
      <c r="L41" s="229" t="s">
        <v>101</v>
      </c>
      <c r="M41" s="230"/>
      <c r="N41" s="202" t="s">
        <v>101</v>
      </c>
      <c r="O41" s="202"/>
      <c r="P41" s="202"/>
      <c r="Q41" s="202"/>
      <c r="R41" s="229" t="s">
        <v>101</v>
      </c>
      <c r="S41" s="230"/>
      <c r="T41" s="202" t="s">
        <v>101</v>
      </c>
      <c r="U41" s="202"/>
      <c r="V41" s="202"/>
      <c r="W41" s="202"/>
      <c r="X41" s="76"/>
    </row>
    <row r="42" spans="1:24" ht="15.75" thickBot="1" x14ac:dyDescent="0.3">
      <c r="A42" s="43"/>
      <c r="B42" s="44"/>
      <c r="C42" s="44"/>
      <c r="D42" s="40"/>
      <c r="E42" s="175"/>
      <c r="F42" s="176"/>
      <c r="G42" s="176"/>
      <c r="H42" s="176"/>
      <c r="I42" s="176"/>
      <c r="J42" s="176"/>
      <c r="K42" s="40"/>
      <c r="L42" s="175"/>
      <c r="M42" s="176"/>
      <c r="N42" s="176"/>
      <c r="O42" s="176"/>
      <c r="P42" s="176"/>
      <c r="Q42" s="176"/>
      <c r="R42" s="175"/>
      <c r="S42" s="176"/>
      <c r="T42" s="176"/>
      <c r="U42" s="176"/>
      <c r="V42" s="176"/>
      <c r="W42" s="176"/>
      <c r="X42" s="76"/>
    </row>
    <row r="43" spans="1:24" ht="15" customHeight="1" thickBot="1" x14ac:dyDescent="0.3">
      <c r="A43" s="221" t="s">
        <v>30</v>
      </c>
      <c r="B43" s="223" t="s">
        <v>95</v>
      </c>
      <c r="C43" s="67"/>
      <c r="D43" s="40"/>
      <c r="E43" s="68" t="s">
        <v>9</v>
      </c>
      <c r="F43" s="226" t="s">
        <v>81</v>
      </c>
      <c r="G43" s="227"/>
      <c r="H43" s="228" t="s">
        <v>385</v>
      </c>
      <c r="I43" s="228"/>
      <c r="J43" s="228"/>
      <c r="K43" s="40"/>
      <c r="L43" s="68" t="s">
        <v>9</v>
      </c>
      <c r="M43" s="226" t="s">
        <v>81</v>
      </c>
      <c r="N43" s="227"/>
      <c r="O43" s="228" t="s">
        <v>385</v>
      </c>
      <c r="P43" s="228"/>
      <c r="Q43" s="228"/>
      <c r="R43" s="68" t="s">
        <v>9</v>
      </c>
      <c r="S43" s="226" t="s">
        <v>81</v>
      </c>
      <c r="T43" s="227"/>
      <c r="U43" s="228" t="s">
        <v>385</v>
      </c>
      <c r="V43" s="228"/>
      <c r="W43" s="228"/>
      <c r="X43" s="76"/>
    </row>
    <row r="44" spans="1:24" ht="15" customHeight="1" thickBot="1" x14ac:dyDescent="0.3">
      <c r="A44" s="222"/>
      <c r="B44" s="224"/>
      <c r="C44" s="69" t="s">
        <v>34</v>
      </c>
      <c r="D44" s="40"/>
      <c r="E44" s="70" t="s">
        <v>102</v>
      </c>
      <c r="F44" s="238" t="s">
        <v>186</v>
      </c>
      <c r="G44" s="239"/>
      <c r="H44" s="237" t="s">
        <v>192</v>
      </c>
      <c r="I44" s="237"/>
      <c r="J44" s="237"/>
      <c r="K44" s="40"/>
      <c r="L44" s="70"/>
      <c r="M44" s="238" t="s">
        <v>155</v>
      </c>
      <c r="N44" s="239"/>
      <c r="O44" s="240" t="s">
        <v>193</v>
      </c>
      <c r="P44" s="241"/>
      <c r="Q44" s="241"/>
      <c r="R44" s="70" t="s">
        <v>102</v>
      </c>
      <c r="S44" s="238" t="s">
        <v>159</v>
      </c>
      <c r="T44" s="239"/>
      <c r="U44" s="241" t="s">
        <v>194</v>
      </c>
      <c r="V44" s="241"/>
      <c r="W44" s="241"/>
      <c r="X44" s="76"/>
    </row>
    <row r="45" spans="1:24" ht="15.75" thickBot="1" x14ac:dyDescent="0.3">
      <c r="A45" s="222"/>
      <c r="B45" s="225"/>
      <c r="C45" s="71" t="s">
        <v>33</v>
      </c>
      <c r="D45" s="40"/>
      <c r="E45" s="72" t="s">
        <v>102</v>
      </c>
      <c r="F45" s="235" t="s">
        <v>112</v>
      </c>
      <c r="G45" s="236"/>
      <c r="H45" s="237" t="s">
        <v>101</v>
      </c>
      <c r="I45" s="237"/>
      <c r="J45" s="237"/>
      <c r="K45" s="40"/>
      <c r="L45" s="72"/>
      <c r="M45" s="235" t="s">
        <v>113</v>
      </c>
      <c r="N45" s="236"/>
      <c r="O45" s="237" t="s">
        <v>101</v>
      </c>
      <c r="P45" s="237"/>
      <c r="Q45" s="237"/>
      <c r="R45" s="72" t="s">
        <v>102</v>
      </c>
      <c r="S45" s="235" t="s">
        <v>112</v>
      </c>
      <c r="T45" s="236"/>
      <c r="U45" s="237" t="s">
        <v>101</v>
      </c>
      <c r="V45" s="237"/>
      <c r="W45" s="237"/>
      <c r="X45" s="76"/>
    </row>
    <row r="46" spans="1:24" ht="15.75" thickBot="1" x14ac:dyDescent="0.3">
      <c r="A46" s="43"/>
      <c r="B46" s="44"/>
      <c r="C46" s="44"/>
      <c r="D46" s="40"/>
      <c r="E46" s="175"/>
      <c r="F46" s="176"/>
      <c r="G46" s="176"/>
      <c r="H46" s="176"/>
      <c r="I46" s="176"/>
      <c r="J46" s="176"/>
      <c r="K46" s="40"/>
      <c r="L46" s="175"/>
      <c r="M46" s="176"/>
      <c r="N46" s="176"/>
      <c r="O46" s="176"/>
      <c r="P46" s="176"/>
      <c r="Q46" s="176"/>
      <c r="R46" s="175"/>
      <c r="S46" s="176"/>
      <c r="T46" s="176"/>
      <c r="U46" s="176"/>
      <c r="V46" s="176"/>
      <c r="W46" s="176"/>
      <c r="X46" s="76"/>
    </row>
    <row r="47" spans="1:24" ht="15" customHeight="1" x14ac:dyDescent="0.25">
      <c r="A47" s="206" t="s">
        <v>31</v>
      </c>
      <c r="B47" s="245" t="s">
        <v>97</v>
      </c>
      <c r="C47" s="73" t="s">
        <v>35</v>
      </c>
      <c r="D47" s="40"/>
      <c r="E47" s="248">
        <v>50</v>
      </c>
      <c r="F47" s="249"/>
      <c r="G47" s="249"/>
      <c r="H47" s="249"/>
      <c r="I47" s="249"/>
      <c r="J47" s="249"/>
      <c r="K47" s="40"/>
      <c r="L47" s="248">
        <v>60</v>
      </c>
      <c r="M47" s="249"/>
      <c r="N47" s="249"/>
      <c r="O47" s="249"/>
      <c r="P47" s="249"/>
      <c r="Q47" s="249"/>
      <c r="R47" s="248">
        <v>70</v>
      </c>
      <c r="S47" s="249"/>
      <c r="T47" s="249"/>
      <c r="U47" s="249"/>
      <c r="V47" s="249"/>
      <c r="W47" s="249"/>
      <c r="X47" s="76"/>
    </row>
    <row r="48" spans="1:24" x14ac:dyDescent="0.25">
      <c r="A48" s="207"/>
      <c r="B48" s="246"/>
      <c r="C48" s="74" t="s">
        <v>68</v>
      </c>
      <c r="D48" s="40"/>
      <c r="E48" s="204">
        <v>90</v>
      </c>
      <c r="F48" s="242"/>
      <c r="G48" s="242"/>
      <c r="H48" s="242"/>
      <c r="I48" s="242"/>
      <c r="J48" s="242"/>
      <c r="K48" s="40"/>
      <c r="L48" s="204">
        <v>52</v>
      </c>
      <c r="M48" s="242"/>
      <c r="N48" s="242"/>
      <c r="O48" s="242"/>
      <c r="P48" s="242"/>
      <c r="Q48" s="242"/>
      <c r="R48" s="204">
        <v>0</v>
      </c>
      <c r="S48" s="242"/>
      <c r="T48" s="242"/>
      <c r="U48" s="242"/>
      <c r="V48" s="242"/>
      <c r="W48" s="242"/>
      <c r="X48" s="76"/>
    </row>
    <row r="49" spans="1:24" x14ac:dyDescent="0.25">
      <c r="A49" s="207"/>
      <c r="B49" s="246"/>
      <c r="C49" s="74" t="s">
        <v>41</v>
      </c>
      <c r="D49" s="40"/>
      <c r="E49" s="204">
        <v>72</v>
      </c>
      <c r="F49" s="242"/>
      <c r="G49" s="242"/>
      <c r="H49" s="242"/>
      <c r="I49" s="242"/>
      <c r="J49" s="242"/>
      <c r="K49" s="40"/>
      <c r="L49" s="204">
        <v>60</v>
      </c>
      <c r="M49" s="242"/>
      <c r="N49" s="242"/>
      <c r="O49" s="242"/>
      <c r="P49" s="242"/>
      <c r="Q49" s="242"/>
      <c r="R49" s="204">
        <v>100</v>
      </c>
      <c r="S49" s="242"/>
      <c r="T49" s="242"/>
      <c r="U49" s="242"/>
      <c r="V49" s="242"/>
      <c r="W49" s="242"/>
      <c r="X49" s="76"/>
    </row>
    <row r="50" spans="1:24" x14ac:dyDescent="0.25">
      <c r="A50" s="207"/>
      <c r="B50" s="246"/>
      <c r="C50" s="74" t="s">
        <v>42</v>
      </c>
      <c r="D50" s="40"/>
      <c r="E50" s="243">
        <v>300</v>
      </c>
      <c r="F50" s="244"/>
      <c r="G50" s="244"/>
      <c r="H50" s="244"/>
      <c r="I50" s="244"/>
      <c r="J50" s="244"/>
      <c r="K50" s="40"/>
      <c r="L50" s="243">
        <v>300</v>
      </c>
      <c r="M50" s="244"/>
      <c r="N50" s="244"/>
      <c r="O50" s="244"/>
      <c r="P50" s="244"/>
      <c r="Q50" s="244"/>
      <c r="R50" s="243">
        <v>300</v>
      </c>
      <c r="S50" s="244"/>
      <c r="T50" s="244"/>
      <c r="U50" s="244"/>
      <c r="V50" s="244"/>
      <c r="W50" s="244"/>
      <c r="X50" s="76"/>
    </row>
    <row r="51" spans="1:24" x14ac:dyDescent="0.25">
      <c r="A51" s="207"/>
      <c r="B51" s="246"/>
      <c r="C51" s="55" t="s">
        <v>43</v>
      </c>
      <c r="D51" s="40"/>
      <c r="E51" s="243">
        <v>400</v>
      </c>
      <c r="F51" s="244"/>
      <c r="G51" s="244"/>
      <c r="H51" s="244"/>
      <c r="I51" s="244"/>
      <c r="J51" s="244"/>
      <c r="K51" s="40"/>
      <c r="L51" s="243" t="s">
        <v>101</v>
      </c>
      <c r="M51" s="244"/>
      <c r="N51" s="244"/>
      <c r="O51" s="244"/>
      <c r="P51" s="244"/>
      <c r="Q51" s="244"/>
      <c r="R51" s="243" t="s">
        <v>101</v>
      </c>
      <c r="S51" s="244"/>
      <c r="T51" s="244"/>
      <c r="U51" s="244"/>
      <c r="V51" s="244"/>
      <c r="W51" s="244"/>
      <c r="X51" s="76"/>
    </row>
    <row r="52" spans="1:24" x14ac:dyDescent="0.25">
      <c r="A52" s="207"/>
      <c r="B52" s="246"/>
      <c r="C52" s="55" t="s">
        <v>44</v>
      </c>
      <c r="D52" s="40"/>
      <c r="E52" s="243" t="s">
        <v>113</v>
      </c>
      <c r="F52" s="244"/>
      <c r="G52" s="244"/>
      <c r="H52" s="244"/>
      <c r="I52" s="244"/>
      <c r="J52" s="244"/>
      <c r="K52" s="40"/>
      <c r="L52" s="243" t="s">
        <v>101</v>
      </c>
      <c r="M52" s="244"/>
      <c r="N52" s="244"/>
      <c r="O52" s="244"/>
      <c r="P52" s="244"/>
      <c r="Q52" s="244"/>
      <c r="R52" s="243" t="s">
        <v>113</v>
      </c>
      <c r="S52" s="244"/>
      <c r="T52" s="244"/>
      <c r="U52" s="244"/>
      <c r="V52" s="244"/>
      <c r="W52" s="244"/>
      <c r="X52" s="76"/>
    </row>
    <row r="53" spans="1:24" x14ac:dyDescent="0.25">
      <c r="A53" s="207"/>
      <c r="B53" s="246"/>
      <c r="C53" s="74" t="s">
        <v>45</v>
      </c>
      <c r="D53" s="40"/>
      <c r="E53" s="243" t="s">
        <v>101</v>
      </c>
      <c r="F53" s="244"/>
      <c r="G53" s="244"/>
      <c r="H53" s="244"/>
      <c r="I53" s="244"/>
      <c r="J53" s="244"/>
      <c r="K53" s="40"/>
      <c r="L53" s="243" t="s">
        <v>101</v>
      </c>
      <c r="M53" s="244"/>
      <c r="N53" s="244"/>
      <c r="O53" s="244"/>
      <c r="P53" s="244"/>
      <c r="Q53" s="244"/>
      <c r="R53" s="243" t="s">
        <v>101</v>
      </c>
      <c r="S53" s="244"/>
      <c r="T53" s="244"/>
      <c r="U53" s="244"/>
      <c r="V53" s="244"/>
      <c r="W53" s="244"/>
      <c r="X53" s="76"/>
    </row>
    <row r="54" spans="1:24" x14ac:dyDescent="0.25">
      <c r="A54" s="207"/>
      <c r="B54" s="246"/>
      <c r="C54" s="55" t="s">
        <v>46</v>
      </c>
      <c r="D54" s="40"/>
      <c r="E54" s="243">
        <f>SUM(E47:J53)</f>
        <v>912</v>
      </c>
      <c r="F54" s="244"/>
      <c r="G54" s="244"/>
      <c r="H54" s="244"/>
      <c r="I54" s="244"/>
      <c r="J54" s="244"/>
      <c r="K54" s="40"/>
      <c r="L54" s="243">
        <f>SUM(L47:Q53)</f>
        <v>472</v>
      </c>
      <c r="M54" s="244"/>
      <c r="N54" s="244"/>
      <c r="O54" s="244"/>
      <c r="P54" s="244"/>
      <c r="Q54" s="244"/>
      <c r="R54" s="243">
        <f>SUM(R47:R53)</f>
        <v>470</v>
      </c>
      <c r="S54" s="244"/>
      <c r="T54" s="244"/>
      <c r="U54" s="244"/>
      <c r="V54" s="244"/>
      <c r="W54" s="244"/>
      <c r="X54" s="76"/>
    </row>
    <row r="55" spans="1:24" ht="15" customHeight="1" x14ac:dyDescent="0.25">
      <c r="A55" s="207"/>
      <c r="B55" s="246"/>
      <c r="C55" s="250" t="s">
        <v>69</v>
      </c>
      <c r="D55" s="75"/>
      <c r="E55" s="252" t="s">
        <v>101</v>
      </c>
      <c r="F55" s="253"/>
      <c r="G55" s="253"/>
      <c r="H55" s="253"/>
      <c r="I55" s="253"/>
      <c r="J55" s="254"/>
      <c r="K55" s="75"/>
      <c r="L55" s="252" t="s">
        <v>101</v>
      </c>
      <c r="M55" s="253"/>
      <c r="N55" s="253"/>
      <c r="O55" s="253"/>
      <c r="P55" s="253"/>
      <c r="Q55" s="254"/>
      <c r="R55" s="252" t="s">
        <v>101</v>
      </c>
      <c r="S55" s="253"/>
      <c r="T55" s="253"/>
      <c r="U55" s="253"/>
      <c r="V55" s="253"/>
      <c r="W55" s="254"/>
      <c r="X55" s="76"/>
    </row>
    <row r="56" spans="1:24" ht="15.75" thickBot="1" x14ac:dyDescent="0.3">
      <c r="A56" s="208"/>
      <c r="B56" s="247"/>
      <c r="C56" s="251"/>
      <c r="D56" s="75"/>
      <c r="E56" s="255"/>
      <c r="F56" s="256"/>
      <c r="G56" s="256"/>
      <c r="H56" s="256"/>
      <c r="I56" s="256"/>
      <c r="J56" s="257"/>
      <c r="K56" s="75"/>
      <c r="L56" s="255"/>
      <c r="M56" s="256"/>
      <c r="N56" s="256"/>
      <c r="O56" s="256"/>
      <c r="P56" s="256"/>
      <c r="Q56" s="257"/>
      <c r="R56" s="255"/>
      <c r="S56" s="256"/>
      <c r="T56" s="256"/>
      <c r="U56" s="256"/>
      <c r="V56" s="256"/>
      <c r="W56" s="257"/>
      <c r="X56" s="76"/>
    </row>
  </sheetData>
  <mergeCells count="216">
    <mergeCell ref="R49:W49"/>
    <mergeCell ref="R50:W50"/>
    <mergeCell ref="R51:W51"/>
    <mergeCell ref="R52:W52"/>
    <mergeCell ref="R53:W53"/>
    <mergeCell ref="R54:W54"/>
    <mergeCell ref="R55:W56"/>
    <mergeCell ref="S43:T43"/>
    <mergeCell ref="U43:W43"/>
    <mergeCell ref="S44:T44"/>
    <mergeCell ref="U44:W44"/>
    <mergeCell ref="S45:T45"/>
    <mergeCell ref="U45:W45"/>
    <mergeCell ref="R46:W46"/>
    <mergeCell ref="R47:W47"/>
    <mergeCell ref="R48:W48"/>
    <mergeCell ref="T41:W41"/>
    <mergeCell ref="R42:W42"/>
    <mergeCell ref="T31:U31"/>
    <mergeCell ref="V31:W31"/>
    <mergeCell ref="T32:U32"/>
    <mergeCell ref="T33:U33"/>
    <mergeCell ref="T34:U34"/>
    <mergeCell ref="T35:U35"/>
    <mergeCell ref="R36:U36"/>
    <mergeCell ref="V36:W36"/>
    <mergeCell ref="R37:W37"/>
    <mergeCell ref="R38:S38"/>
    <mergeCell ref="T38:W38"/>
    <mergeCell ref="R39:S39"/>
    <mergeCell ref="T39:W39"/>
    <mergeCell ref="R40:S40"/>
    <mergeCell ref="T40:W40"/>
    <mergeCell ref="R41:S41"/>
    <mergeCell ref="T22:U22"/>
    <mergeCell ref="T23:U23"/>
    <mergeCell ref="T24:U24"/>
    <mergeCell ref="T25:U25"/>
    <mergeCell ref="T26:U26"/>
    <mergeCell ref="R27:W27"/>
    <mergeCell ref="T28:U28"/>
    <mergeCell ref="V28:W28"/>
    <mergeCell ref="T29:U29"/>
    <mergeCell ref="V29:W29"/>
    <mergeCell ref="L53:Q53"/>
    <mergeCell ref="L54:Q54"/>
    <mergeCell ref="L55:Q56"/>
    <mergeCell ref="I31:J31"/>
    <mergeCell ref="R2:W2"/>
    <mergeCell ref="R3:W3"/>
    <mergeCell ref="R4:W4"/>
    <mergeCell ref="R5:W5"/>
    <mergeCell ref="R6:W6"/>
    <mergeCell ref="R7:W7"/>
    <mergeCell ref="R8:W8"/>
    <mergeCell ref="R9:W9"/>
    <mergeCell ref="R10:W10"/>
    <mergeCell ref="R11:W11"/>
    <mergeCell ref="R12:W12"/>
    <mergeCell ref="R13:W13"/>
    <mergeCell ref="R14:W14"/>
    <mergeCell ref="R15:W15"/>
    <mergeCell ref="T16:U16"/>
    <mergeCell ref="T17:U17"/>
    <mergeCell ref="T18:U18"/>
    <mergeCell ref="T19:U19"/>
    <mergeCell ref="T20:U20"/>
    <mergeCell ref="T21:U21"/>
    <mergeCell ref="M45:N45"/>
    <mergeCell ref="O45:Q45"/>
    <mergeCell ref="L46:Q46"/>
    <mergeCell ref="L47:Q47"/>
    <mergeCell ref="L48:Q48"/>
    <mergeCell ref="L49:Q49"/>
    <mergeCell ref="L50:Q50"/>
    <mergeCell ref="L51:Q51"/>
    <mergeCell ref="L52:Q52"/>
    <mergeCell ref="L40:M40"/>
    <mergeCell ref="N40:Q40"/>
    <mergeCell ref="L41:M41"/>
    <mergeCell ref="N41:Q41"/>
    <mergeCell ref="L42:Q42"/>
    <mergeCell ref="M43:N43"/>
    <mergeCell ref="O43:Q43"/>
    <mergeCell ref="M44:N44"/>
    <mergeCell ref="O44:Q44"/>
    <mergeCell ref="N34:O34"/>
    <mergeCell ref="N35:O35"/>
    <mergeCell ref="L36:O36"/>
    <mergeCell ref="P36:Q36"/>
    <mergeCell ref="L37:Q37"/>
    <mergeCell ref="L38:M38"/>
    <mergeCell ref="N38:Q38"/>
    <mergeCell ref="L39:M39"/>
    <mergeCell ref="N39:Q39"/>
    <mergeCell ref="L27:Q27"/>
    <mergeCell ref="N28:O28"/>
    <mergeCell ref="P28:Q28"/>
    <mergeCell ref="N29:O29"/>
    <mergeCell ref="P29:Q29"/>
    <mergeCell ref="N31:O31"/>
    <mergeCell ref="N32:O32"/>
    <mergeCell ref="P32:Q32"/>
    <mergeCell ref="N33:O33"/>
    <mergeCell ref="N30:O30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L11:Q11"/>
    <mergeCell ref="L12:Q12"/>
    <mergeCell ref="L13:Q13"/>
    <mergeCell ref="L14:Q14"/>
    <mergeCell ref="L15:Q15"/>
    <mergeCell ref="N16:O16"/>
    <mergeCell ref="N17:O17"/>
    <mergeCell ref="E2:J2"/>
    <mergeCell ref="E4:J4"/>
    <mergeCell ref="E11:J11"/>
    <mergeCell ref="L2:Q2"/>
    <mergeCell ref="L3:Q3"/>
    <mergeCell ref="L4:Q4"/>
    <mergeCell ref="L5:Q5"/>
    <mergeCell ref="L6:Q6"/>
    <mergeCell ref="L7:Q7"/>
    <mergeCell ref="L8:Q8"/>
    <mergeCell ref="L9:Q9"/>
    <mergeCell ref="L10:Q10"/>
    <mergeCell ref="A3:A6"/>
    <mergeCell ref="B3:B6"/>
    <mergeCell ref="E3:J3"/>
    <mergeCell ref="E5:J5"/>
    <mergeCell ref="E7:J7"/>
    <mergeCell ref="E6:J6"/>
    <mergeCell ref="A8:A10"/>
    <mergeCell ref="B8:B10"/>
    <mergeCell ref="E8:J8"/>
    <mergeCell ref="E10:J10"/>
    <mergeCell ref="E9:J9"/>
    <mergeCell ref="A12:A14"/>
    <mergeCell ref="B12:B14"/>
    <mergeCell ref="E12:J12"/>
    <mergeCell ref="E14:J14"/>
    <mergeCell ref="E15:J15"/>
    <mergeCell ref="E13:J13"/>
    <mergeCell ref="A16:A26"/>
    <mergeCell ref="B16:B26"/>
    <mergeCell ref="G16:H16"/>
    <mergeCell ref="G18:H18"/>
    <mergeCell ref="G19:H19"/>
    <mergeCell ref="G17:H17"/>
    <mergeCell ref="G21:H21"/>
    <mergeCell ref="G20:H20"/>
    <mergeCell ref="G23:H23"/>
    <mergeCell ref="G22:H22"/>
    <mergeCell ref="G25:H25"/>
    <mergeCell ref="G24:H24"/>
    <mergeCell ref="E27:J27"/>
    <mergeCell ref="G26:H26"/>
    <mergeCell ref="A28:A36"/>
    <mergeCell ref="B28:B36"/>
    <mergeCell ref="G28:H28"/>
    <mergeCell ref="I28:J28"/>
    <mergeCell ref="G32:H32"/>
    <mergeCell ref="G31:H31"/>
    <mergeCell ref="G29:H29"/>
    <mergeCell ref="I29:J29"/>
    <mergeCell ref="G34:H34"/>
    <mergeCell ref="G33:H33"/>
    <mergeCell ref="G35:H35"/>
    <mergeCell ref="E36:H36"/>
    <mergeCell ref="I36:J36"/>
    <mergeCell ref="G30:H30"/>
    <mergeCell ref="I30:J30"/>
    <mergeCell ref="A38:A41"/>
    <mergeCell ref="B38:B41"/>
    <mergeCell ref="E38:F38"/>
    <mergeCell ref="G38:J38"/>
    <mergeCell ref="F44:G44"/>
    <mergeCell ref="H44:J44"/>
    <mergeCell ref="V30:X30"/>
    <mergeCell ref="P33:Q33"/>
    <mergeCell ref="V33:W33"/>
    <mergeCell ref="V34:W34"/>
    <mergeCell ref="E37:J37"/>
    <mergeCell ref="E40:F40"/>
    <mergeCell ref="G40:J40"/>
    <mergeCell ref="E39:F39"/>
    <mergeCell ref="G39:J39"/>
    <mergeCell ref="A43:A45"/>
    <mergeCell ref="B43:B45"/>
    <mergeCell ref="F45:G45"/>
    <mergeCell ref="H45:J45"/>
    <mergeCell ref="E41:F41"/>
    <mergeCell ref="G41:J41"/>
    <mergeCell ref="F43:G43"/>
    <mergeCell ref="H43:J43"/>
    <mergeCell ref="E42:J42"/>
    <mergeCell ref="E46:J46"/>
    <mergeCell ref="E48:J48"/>
    <mergeCell ref="A47:A56"/>
    <mergeCell ref="B47:B56"/>
    <mergeCell ref="E47:J47"/>
    <mergeCell ref="E49:J49"/>
    <mergeCell ref="E51:J51"/>
    <mergeCell ref="E50:J50"/>
    <mergeCell ref="E53:J53"/>
    <mergeCell ref="E52:J52"/>
    <mergeCell ref="C55:C56"/>
    <mergeCell ref="E55:J56"/>
    <mergeCell ref="E54:J54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workbookViewId="0">
      <selection activeCell="K18" sqref="K18"/>
    </sheetView>
  </sheetViews>
  <sheetFormatPr baseColWidth="10" defaultColWidth="11.42578125" defaultRowHeight="15" x14ac:dyDescent="0.25"/>
  <cols>
    <col min="1" max="1" width="16.42578125" bestFit="1" customWidth="1"/>
    <col min="5" max="5" width="14.85546875" bestFit="1" customWidth="1"/>
    <col min="9" max="9" width="14.85546875" bestFit="1" customWidth="1"/>
    <col min="13" max="13" width="14.85546875" bestFit="1" customWidth="1"/>
    <col min="17" max="17" width="14.85546875" bestFit="1" customWidth="1"/>
    <col min="21" max="21" width="14.85546875" bestFit="1" customWidth="1"/>
  </cols>
  <sheetData>
    <row r="5" spans="1:23" x14ac:dyDescent="0.25">
      <c r="A5" s="154" t="s">
        <v>106</v>
      </c>
      <c r="B5" s="154"/>
      <c r="C5" s="154"/>
      <c r="E5" s="154" t="s">
        <v>107</v>
      </c>
      <c r="F5" s="154"/>
      <c r="G5" s="154"/>
      <c r="I5" s="154" t="s">
        <v>130</v>
      </c>
      <c r="J5" s="154"/>
      <c r="K5" s="154"/>
      <c r="L5" s="5"/>
      <c r="M5" s="154"/>
      <c r="N5" s="154"/>
      <c r="O5" s="154"/>
      <c r="Q5" s="154"/>
      <c r="R5" s="154"/>
      <c r="S5" s="154"/>
      <c r="U5" s="154"/>
      <c r="V5" s="154"/>
      <c r="W5" s="154"/>
    </row>
    <row r="6" spans="1:23" x14ac:dyDescent="0.25">
      <c r="A6" s="5" t="s">
        <v>83</v>
      </c>
      <c r="B6" s="5" t="s">
        <v>71</v>
      </c>
      <c r="C6" s="5" t="s">
        <v>82</v>
      </c>
      <c r="E6" s="5" t="s">
        <v>83</v>
      </c>
      <c r="F6" s="5" t="s">
        <v>71</v>
      </c>
      <c r="G6" s="5" t="s">
        <v>82</v>
      </c>
      <c r="I6" s="5" t="s">
        <v>83</v>
      </c>
      <c r="J6" s="5" t="s">
        <v>71</v>
      </c>
      <c r="K6" s="5" t="s">
        <v>82</v>
      </c>
      <c r="L6" s="5"/>
      <c r="M6" s="5"/>
      <c r="N6" s="5"/>
      <c r="O6" s="5"/>
      <c r="Q6" s="5"/>
      <c r="R6" s="5"/>
      <c r="S6" s="5"/>
      <c r="U6" s="5"/>
      <c r="V6" s="5"/>
      <c r="W6" s="5"/>
    </row>
    <row r="7" spans="1:23" x14ac:dyDescent="0.25">
      <c r="A7" s="5">
        <v>1</v>
      </c>
      <c r="B7">
        <v>2009</v>
      </c>
      <c r="C7" s="79">
        <v>2.2000000000000002</v>
      </c>
      <c r="E7" s="5">
        <v>1</v>
      </c>
      <c r="F7" s="5">
        <v>2009</v>
      </c>
      <c r="G7" s="27">
        <v>2.9</v>
      </c>
      <c r="I7" s="5">
        <v>1</v>
      </c>
      <c r="J7" s="5">
        <v>2009</v>
      </c>
      <c r="K7" s="21">
        <v>6.8</v>
      </c>
      <c r="L7" s="5"/>
      <c r="M7" s="5"/>
      <c r="N7" s="5"/>
      <c r="O7" s="21"/>
      <c r="Q7" s="5"/>
      <c r="R7" s="5"/>
      <c r="S7" s="5"/>
      <c r="U7" s="5"/>
      <c r="V7" s="5"/>
      <c r="W7" s="5"/>
    </row>
    <row r="8" spans="1:23" x14ac:dyDescent="0.25">
      <c r="A8" s="5">
        <v>2</v>
      </c>
      <c r="B8">
        <v>2010</v>
      </c>
      <c r="C8" s="79">
        <v>3.5</v>
      </c>
      <c r="E8" s="5">
        <v>2</v>
      </c>
      <c r="F8" s="5">
        <v>2010</v>
      </c>
      <c r="G8" s="27">
        <v>6.1</v>
      </c>
      <c r="I8" s="5">
        <v>2</v>
      </c>
      <c r="J8" s="5">
        <v>2010</v>
      </c>
      <c r="K8" s="21">
        <v>5.4</v>
      </c>
      <c r="L8" s="5"/>
      <c r="M8" s="5"/>
      <c r="N8" s="5"/>
      <c r="O8" s="21"/>
      <c r="Q8" s="5"/>
      <c r="R8" s="5"/>
      <c r="S8" s="5"/>
      <c r="U8" s="5"/>
      <c r="V8" s="5"/>
      <c r="W8" s="5"/>
    </row>
    <row r="9" spans="1:23" x14ac:dyDescent="0.25">
      <c r="A9" s="5">
        <v>3</v>
      </c>
      <c r="B9">
        <v>2011</v>
      </c>
      <c r="C9" s="79">
        <v>3</v>
      </c>
      <c r="E9" s="5">
        <v>3</v>
      </c>
      <c r="F9" s="5">
        <v>2011</v>
      </c>
      <c r="G9" s="27">
        <v>4.5999999999999996</v>
      </c>
      <c r="I9" s="5">
        <v>3</v>
      </c>
      <c r="J9" s="5">
        <v>2011</v>
      </c>
      <c r="K9" s="21">
        <v>7.8</v>
      </c>
      <c r="L9" s="5"/>
      <c r="M9" s="5"/>
      <c r="N9" s="5"/>
      <c r="O9" s="21"/>
      <c r="Q9" s="5"/>
      <c r="R9" s="5"/>
      <c r="S9" s="5"/>
      <c r="U9" s="5"/>
      <c r="V9" s="5"/>
      <c r="W9" s="5"/>
    </row>
    <row r="10" spans="1:23" x14ac:dyDescent="0.25">
      <c r="A10" s="5">
        <v>4</v>
      </c>
      <c r="B10">
        <v>2012</v>
      </c>
      <c r="C10" s="79">
        <v>1.9</v>
      </c>
      <c r="E10" s="5">
        <v>4</v>
      </c>
      <c r="F10" s="5">
        <v>2012</v>
      </c>
      <c r="G10" s="27">
        <v>6.9</v>
      </c>
      <c r="I10" s="5">
        <v>4</v>
      </c>
      <c r="J10" s="5">
        <v>2012</v>
      </c>
      <c r="K10" s="21">
        <v>4.0999999999999996</v>
      </c>
      <c r="L10" s="5"/>
      <c r="M10" s="5"/>
      <c r="N10" s="5"/>
      <c r="O10" s="21"/>
      <c r="Q10" s="5"/>
      <c r="R10" s="5"/>
      <c r="S10" s="5"/>
      <c r="U10" s="5"/>
      <c r="V10" s="5"/>
      <c r="W10" s="5"/>
    </row>
    <row r="11" spans="1:23" x14ac:dyDescent="0.25">
      <c r="A11" s="5">
        <v>5</v>
      </c>
      <c r="B11" s="5">
        <v>2013</v>
      </c>
      <c r="C11" s="79">
        <v>1.6</v>
      </c>
      <c r="E11" s="5">
        <v>5</v>
      </c>
      <c r="F11" s="5">
        <v>2013</v>
      </c>
      <c r="G11" s="27">
        <v>6.9</v>
      </c>
      <c r="I11" s="5">
        <v>5</v>
      </c>
      <c r="J11" s="5">
        <v>2013</v>
      </c>
      <c r="K11" s="21">
        <v>4.8</v>
      </c>
      <c r="L11" s="5"/>
      <c r="M11" s="5"/>
      <c r="N11" s="5"/>
      <c r="O11" s="21"/>
      <c r="Q11" s="5"/>
      <c r="R11" s="5"/>
      <c r="S11" s="5"/>
      <c r="U11" s="5"/>
      <c r="V11" s="5"/>
      <c r="W11" s="5"/>
    </row>
    <row r="12" spans="1:23" x14ac:dyDescent="0.25">
      <c r="A12" s="5">
        <v>6</v>
      </c>
      <c r="B12" s="5">
        <v>2014</v>
      </c>
      <c r="C12" s="79">
        <v>2.5</v>
      </c>
      <c r="E12" s="5">
        <v>6</v>
      </c>
      <c r="F12" s="5">
        <v>2014</v>
      </c>
      <c r="G12" s="27">
        <v>9.3000000000000007</v>
      </c>
      <c r="I12" s="5">
        <v>6</v>
      </c>
      <c r="J12" s="5">
        <v>2014</v>
      </c>
      <c r="K12" s="21">
        <v>7</v>
      </c>
      <c r="L12" s="5"/>
      <c r="M12" s="5"/>
      <c r="N12" s="5"/>
      <c r="O12" s="21"/>
      <c r="Q12" s="5"/>
      <c r="R12" s="5"/>
      <c r="S12" s="5"/>
      <c r="U12" s="5"/>
      <c r="V12" s="5"/>
      <c r="W12" s="5"/>
    </row>
    <row r="13" spans="1:23" x14ac:dyDescent="0.25">
      <c r="A13" s="5">
        <v>7</v>
      </c>
      <c r="B13" s="5">
        <v>2015</v>
      </c>
      <c r="C13" s="79">
        <v>1.8</v>
      </c>
      <c r="E13" s="5">
        <v>7</v>
      </c>
      <c r="F13" s="5">
        <v>2015</v>
      </c>
      <c r="G13" s="27">
        <v>9.1</v>
      </c>
      <c r="I13" s="5">
        <v>7</v>
      </c>
      <c r="J13" s="5">
        <v>2015</v>
      </c>
      <c r="K13" s="21">
        <v>4.9000000000000004</v>
      </c>
      <c r="L13" s="5"/>
      <c r="M13" s="5"/>
      <c r="N13" s="5"/>
      <c r="O13" s="21"/>
      <c r="Q13" s="5"/>
      <c r="R13" s="5"/>
      <c r="S13" s="5"/>
      <c r="U13" s="5"/>
      <c r="V13" s="5"/>
      <c r="W13" s="5"/>
    </row>
    <row r="14" spans="1:23" x14ac:dyDescent="0.25">
      <c r="A14" s="5">
        <v>8</v>
      </c>
      <c r="B14" s="5">
        <v>2016</v>
      </c>
      <c r="C14" s="79">
        <v>3.9</v>
      </c>
      <c r="E14" s="5">
        <v>8</v>
      </c>
      <c r="F14" s="5">
        <v>2016</v>
      </c>
      <c r="G14" s="27">
        <v>7.8</v>
      </c>
      <c r="I14" s="5">
        <v>8</v>
      </c>
      <c r="J14" s="5">
        <v>2016</v>
      </c>
      <c r="K14" s="21">
        <v>7.2</v>
      </c>
      <c r="L14" s="5"/>
      <c r="M14" s="5"/>
      <c r="N14" s="5"/>
      <c r="O14" s="21"/>
      <c r="Q14" s="5"/>
      <c r="R14" s="5"/>
      <c r="S14" s="5"/>
      <c r="U14" s="5"/>
      <c r="V14" s="5"/>
      <c r="W14" s="5"/>
    </row>
    <row r="15" spans="1:23" x14ac:dyDescent="0.25">
      <c r="A15" s="5">
        <v>9</v>
      </c>
      <c r="B15" s="5">
        <v>2017</v>
      </c>
      <c r="C15" s="79">
        <v>2</v>
      </c>
      <c r="E15" s="5">
        <v>9</v>
      </c>
      <c r="F15" s="5">
        <v>2017</v>
      </c>
      <c r="G15" s="27">
        <v>6.4</v>
      </c>
      <c r="I15" s="5">
        <v>9</v>
      </c>
      <c r="J15" s="5">
        <v>2017</v>
      </c>
      <c r="K15" s="21">
        <v>9.1</v>
      </c>
      <c r="L15" s="5"/>
      <c r="M15" s="5"/>
      <c r="N15" s="5"/>
      <c r="O15" s="21"/>
      <c r="Q15" s="5"/>
      <c r="R15" s="5"/>
      <c r="S15" s="5"/>
      <c r="U15" s="5"/>
      <c r="V15" s="5"/>
      <c r="W15" s="5"/>
    </row>
    <row r="16" spans="1:23" x14ac:dyDescent="0.25">
      <c r="A16" s="5">
        <v>10</v>
      </c>
      <c r="B16" s="5">
        <v>2018</v>
      </c>
      <c r="C16" s="79">
        <v>2.4</v>
      </c>
      <c r="E16" s="5">
        <v>10</v>
      </c>
      <c r="F16" s="5">
        <v>2018</v>
      </c>
      <c r="G16" s="27">
        <v>7.8</v>
      </c>
      <c r="I16" s="5">
        <v>10</v>
      </c>
      <c r="J16" s="5">
        <v>2018</v>
      </c>
      <c r="K16" s="21">
        <v>11.4</v>
      </c>
      <c r="L16" s="5"/>
      <c r="M16" s="5"/>
      <c r="N16" s="5"/>
      <c r="O16" s="21"/>
      <c r="Q16" s="5"/>
      <c r="R16" s="5"/>
      <c r="S16" s="5"/>
      <c r="U16" s="5"/>
      <c r="V16" s="5"/>
      <c r="W16" s="5"/>
    </row>
    <row r="17" spans="1:23" x14ac:dyDescent="0.25">
      <c r="C17" s="100">
        <f>_xlfn.STDEV.P(C7:C16)/AVERAGE(C7:C16)</f>
        <v>0.29121725943980364</v>
      </c>
      <c r="G17" s="100">
        <f>_xlfn.STDEV.P(G7:G16)/AVERAGE(G7:G16)</f>
        <v>0.27298490386452584</v>
      </c>
      <c r="J17" s="5"/>
      <c r="K17" s="100">
        <f>_xlfn.STDEV.P(K7:K16)/AVERAGE(K7:K16)</f>
        <v>0.30790463458536504</v>
      </c>
      <c r="L17" s="5"/>
      <c r="O17" s="100"/>
    </row>
    <row r="18" spans="1:23" x14ac:dyDescent="0.25">
      <c r="J18" s="5"/>
      <c r="K18" s="5"/>
      <c r="L18" s="5"/>
    </row>
    <row r="19" spans="1:23" x14ac:dyDescent="0.25">
      <c r="J19" s="5"/>
      <c r="K19" s="5"/>
      <c r="L19" s="5"/>
    </row>
    <row r="20" spans="1:23" x14ac:dyDescent="0.25">
      <c r="A20" s="154"/>
      <c r="B20" s="154"/>
      <c r="C20" s="154"/>
      <c r="D20" s="5"/>
      <c r="E20" s="154"/>
      <c r="F20" s="154"/>
      <c r="G20" s="154"/>
      <c r="H20" s="5"/>
      <c r="I20" s="154"/>
      <c r="J20" s="154"/>
      <c r="K20" s="154"/>
      <c r="L20" s="5"/>
      <c r="M20" s="154"/>
      <c r="N20" s="154"/>
      <c r="O20" s="154"/>
      <c r="P20" s="5"/>
      <c r="Q20" s="154"/>
      <c r="R20" s="154"/>
      <c r="S20" s="154"/>
      <c r="T20" s="5"/>
      <c r="U20" s="154"/>
      <c r="V20" s="154"/>
      <c r="W20" s="154"/>
    </row>
    <row r="21" spans="1:23" x14ac:dyDescent="0.25">
      <c r="A21" s="5"/>
      <c r="B21" s="5"/>
      <c r="C21" s="6" t="s">
        <v>250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5"/>
      <c r="B22" s="5"/>
      <c r="C22" s="5"/>
      <c r="D22" s="5"/>
      <c r="E22" s="5" t="s">
        <v>218</v>
      </c>
      <c r="F22" s="5" t="s">
        <v>219</v>
      </c>
      <c r="G22" s="5" t="s">
        <v>220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5"/>
      <c r="B23" s="5"/>
      <c r="C23" s="5" t="s">
        <v>221</v>
      </c>
      <c r="D23" s="5"/>
      <c r="E23" s="5" t="s">
        <v>123</v>
      </c>
      <c r="F23" s="5" t="s">
        <v>222</v>
      </c>
      <c r="G23" s="5"/>
      <c r="H23" s="101">
        <f>AVERAGE(K17,G17)</f>
        <v>0.29044476922494544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5"/>
      <c r="B24" s="5"/>
      <c r="C24" s="5" t="s">
        <v>223</v>
      </c>
      <c r="D24" s="5"/>
      <c r="E24" s="5" t="s">
        <v>123</v>
      </c>
      <c r="F24" s="5" t="s">
        <v>222</v>
      </c>
      <c r="G24" s="5" t="s">
        <v>224</v>
      </c>
      <c r="H24" s="101">
        <f>AVERAGE(K17,G17,C17)</f>
        <v>0.29070226596323151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5" spans="1:23" x14ac:dyDescent="0.25">
      <c r="A35" s="154"/>
      <c r="B35" s="154"/>
      <c r="C35" s="154"/>
      <c r="D35" s="5"/>
      <c r="E35" s="154"/>
      <c r="F35" s="154"/>
      <c r="G35" s="154"/>
      <c r="H35" s="5"/>
      <c r="I35" s="154"/>
      <c r="J35" s="154"/>
      <c r="K35" s="154"/>
      <c r="L35" s="5"/>
      <c r="M35" s="154"/>
      <c r="N35" s="154"/>
      <c r="O35" s="154"/>
      <c r="P35" s="5"/>
      <c r="Q35" s="154"/>
      <c r="R35" s="154"/>
      <c r="S35" s="154"/>
      <c r="T35" s="5"/>
      <c r="U35" s="154"/>
      <c r="V35" s="154"/>
      <c r="W35" s="154"/>
    </row>
    <row r="36" spans="1:2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50" spans="1:23" x14ac:dyDescent="0.25">
      <c r="A50" s="154" t="s">
        <v>84</v>
      </c>
      <c r="B50" s="154"/>
      <c r="C50" s="154"/>
      <c r="D50" s="5"/>
      <c r="E50" s="154" t="s">
        <v>84</v>
      </c>
      <c r="F50" s="154"/>
      <c r="G50" s="154"/>
      <c r="H50" s="5"/>
      <c r="I50" s="154" t="s">
        <v>84</v>
      </c>
      <c r="J50" s="154"/>
      <c r="K50" s="154"/>
      <c r="L50" s="5"/>
      <c r="M50" s="154" t="s">
        <v>84</v>
      </c>
      <c r="N50" s="154"/>
      <c r="O50" s="154"/>
      <c r="P50" s="5"/>
      <c r="Q50" s="154" t="s">
        <v>84</v>
      </c>
      <c r="R50" s="154"/>
      <c r="S50" s="154"/>
      <c r="T50" s="5"/>
      <c r="U50" s="154" t="s">
        <v>84</v>
      </c>
      <c r="V50" s="154"/>
      <c r="W50" s="154"/>
    </row>
    <row r="51" spans="1:23" x14ac:dyDescent="0.25">
      <c r="A51" s="5" t="s">
        <v>83</v>
      </c>
      <c r="B51" s="5" t="s">
        <v>71</v>
      </c>
      <c r="C51" s="5" t="s">
        <v>82</v>
      </c>
      <c r="D51" s="5"/>
      <c r="E51" s="5" t="s">
        <v>83</v>
      </c>
      <c r="F51" s="5" t="s">
        <v>71</v>
      </c>
      <c r="G51" s="5" t="s">
        <v>82</v>
      </c>
      <c r="H51" s="5"/>
      <c r="I51" s="5" t="s">
        <v>83</v>
      </c>
      <c r="J51" s="5" t="s">
        <v>71</v>
      </c>
      <c r="K51" s="5" t="s">
        <v>82</v>
      </c>
      <c r="L51" s="5"/>
      <c r="M51" s="5" t="s">
        <v>83</v>
      </c>
      <c r="N51" s="5" t="s">
        <v>71</v>
      </c>
      <c r="O51" s="5" t="s">
        <v>82</v>
      </c>
      <c r="P51" s="5"/>
      <c r="Q51" s="5" t="s">
        <v>83</v>
      </c>
      <c r="R51" s="5" t="s">
        <v>71</v>
      </c>
      <c r="S51" s="5" t="s">
        <v>82</v>
      </c>
      <c r="T51" s="5"/>
      <c r="U51" s="5" t="s">
        <v>83</v>
      </c>
      <c r="V51" s="5" t="s">
        <v>71</v>
      </c>
      <c r="W51" s="5" t="s">
        <v>82</v>
      </c>
    </row>
    <row r="52" spans="1:23" x14ac:dyDescent="0.25">
      <c r="A52" s="5">
        <v>1</v>
      </c>
      <c r="B52" s="5"/>
      <c r="C52" s="5"/>
      <c r="D52" s="5"/>
      <c r="E52" s="5">
        <v>1</v>
      </c>
      <c r="F52" s="5"/>
      <c r="G52" s="5"/>
      <c r="H52" s="5"/>
      <c r="I52" s="5">
        <v>1</v>
      </c>
      <c r="J52" s="5"/>
      <c r="K52" s="5"/>
      <c r="L52" s="5"/>
      <c r="M52" s="5">
        <v>1</v>
      </c>
      <c r="N52" s="5"/>
      <c r="O52" s="5"/>
      <c r="P52" s="5"/>
      <c r="Q52" s="5">
        <v>1</v>
      </c>
      <c r="R52" s="5"/>
      <c r="S52" s="5"/>
      <c r="T52" s="5"/>
      <c r="U52" s="5">
        <v>1</v>
      </c>
      <c r="V52" s="5"/>
      <c r="W52" s="5"/>
    </row>
    <row r="53" spans="1:23" x14ac:dyDescent="0.25">
      <c r="A53" s="5">
        <v>2</v>
      </c>
      <c r="B53" s="5"/>
      <c r="C53" s="5"/>
      <c r="D53" s="5"/>
      <c r="E53" s="5">
        <v>2</v>
      </c>
      <c r="F53" s="5"/>
      <c r="G53" s="5"/>
      <c r="H53" s="5"/>
      <c r="I53" s="5">
        <v>2</v>
      </c>
      <c r="J53" s="5"/>
      <c r="K53" s="5"/>
      <c r="L53" s="5"/>
      <c r="M53" s="5">
        <v>2</v>
      </c>
      <c r="N53" s="5"/>
      <c r="O53" s="5"/>
      <c r="P53" s="5"/>
      <c r="Q53" s="5">
        <v>2</v>
      </c>
      <c r="R53" s="5"/>
      <c r="S53" s="5"/>
      <c r="T53" s="5"/>
      <c r="U53" s="5">
        <v>2</v>
      </c>
      <c r="V53" s="5"/>
      <c r="W53" s="5"/>
    </row>
    <row r="54" spans="1:23" x14ac:dyDescent="0.25">
      <c r="A54" s="5">
        <v>3</v>
      </c>
      <c r="B54" s="5"/>
      <c r="C54" s="5"/>
      <c r="D54" s="5"/>
      <c r="E54" s="5">
        <v>3</v>
      </c>
      <c r="F54" s="5"/>
      <c r="G54" s="5"/>
      <c r="H54" s="5"/>
      <c r="I54" s="5">
        <v>3</v>
      </c>
      <c r="J54" s="5"/>
      <c r="K54" s="5"/>
      <c r="L54" s="5"/>
      <c r="M54" s="5">
        <v>3</v>
      </c>
      <c r="N54" s="5"/>
      <c r="O54" s="5"/>
      <c r="P54" s="5"/>
      <c r="Q54" s="5">
        <v>3</v>
      </c>
      <c r="R54" s="5"/>
      <c r="S54" s="5"/>
      <c r="T54" s="5"/>
      <c r="U54" s="5">
        <v>3</v>
      </c>
      <c r="V54" s="5"/>
      <c r="W54" s="5"/>
    </row>
    <row r="55" spans="1:23" x14ac:dyDescent="0.25">
      <c r="A55" s="5">
        <v>4</v>
      </c>
      <c r="B55" s="5"/>
      <c r="C55" s="5"/>
      <c r="D55" s="5"/>
      <c r="E55" s="5">
        <v>4</v>
      </c>
      <c r="F55" s="5"/>
      <c r="G55" s="5"/>
      <c r="H55" s="5"/>
      <c r="I55" s="5">
        <v>4</v>
      </c>
      <c r="J55" s="5"/>
      <c r="K55" s="5"/>
      <c r="L55" s="5"/>
      <c r="M55" s="5">
        <v>4</v>
      </c>
      <c r="N55" s="5"/>
      <c r="O55" s="5"/>
      <c r="P55" s="5"/>
      <c r="Q55" s="5">
        <v>4</v>
      </c>
      <c r="R55" s="5"/>
      <c r="S55" s="5"/>
      <c r="T55" s="5"/>
      <c r="U55" s="5">
        <v>4</v>
      </c>
      <c r="V55" s="5"/>
      <c r="W55" s="5"/>
    </row>
    <row r="56" spans="1:23" x14ac:dyDescent="0.25">
      <c r="A56" s="5">
        <v>5</v>
      </c>
      <c r="B56" s="5"/>
      <c r="C56" s="5"/>
      <c r="D56" s="5"/>
      <c r="E56" s="5">
        <v>5</v>
      </c>
      <c r="F56" s="5"/>
      <c r="G56" s="5"/>
      <c r="H56" s="5"/>
      <c r="I56" s="5">
        <v>5</v>
      </c>
      <c r="J56" s="5"/>
      <c r="K56" s="5"/>
      <c r="L56" s="5"/>
      <c r="M56" s="5">
        <v>5</v>
      </c>
      <c r="N56" s="5"/>
      <c r="O56" s="5"/>
      <c r="P56" s="5"/>
      <c r="Q56" s="5">
        <v>5</v>
      </c>
      <c r="R56" s="5"/>
      <c r="S56" s="5"/>
      <c r="T56" s="5"/>
      <c r="U56" s="5">
        <v>5</v>
      </c>
      <c r="V56" s="5"/>
      <c r="W56" s="5"/>
    </row>
    <row r="57" spans="1:23" x14ac:dyDescent="0.25">
      <c r="A57" s="5">
        <v>6</v>
      </c>
      <c r="B57" s="5"/>
      <c r="C57" s="5"/>
      <c r="D57" s="5"/>
      <c r="E57" s="5">
        <v>6</v>
      </c>
      <c r="F57" s="5"/>
      <c r="G57" s="5"/>
      <c r="H57" s="5"/>
      <c r="I57" s="5">
        <v>6</v>
      </c>
      <c r="J57" s="5"/>
      <c r="K57" s="5"/>
      <c r="L57" s="5"/>
      <c r="M57" s="5">
        <v>6</v>
      </c>
      <c r="N57" s="5"/>
      <c r="O57" s="5"/>
      <c r="P57" s="5"/>
      <c r="Q57" s="5">
        <v>6</v>
      </c>
      <c r="R57" s="5"/>
      <c r="S57" s="5"/>
      <c r="T57" s="5"/>
      <c r="U57" s="5">
        <v>6</v>
      </c>
      <c r="V57" s="5"/>
      <c r="W57" s="5"/>
    </row>
    <row r="58" spans="1:23" x14ac:dyDescent="0.25">
      <c r="A58" s="5">
        <v>7</v>
      </c>
      <c r="B58" s="5"/>
      <c r="C58" s="5"/>
      <c r="D58" s="5"/>
      <c r="E58" s="5">
        <v>7</v>
      </c>
      <c r="F58" s="5"/>
      <c r="G58" s="5"/>
      <c r="H58" s="5"/>
      <c r="I58" s="5">
        <v>7</v>
      </c>
      <c r="J58" s="5"/>
      <c r="K58" s="5"/>
      <c r="L58" s="5"/>
      <c r="M58" s="5">
        <v>7</v>
      </c>
      <c r="N58" s="5"/>
      <c r="O58" s="5"/>
      <c r="P58" s="5"/>
      <c r="Q58" s="5">
        <v>7</v>
      </c>
      <c r="R58" s="5"/>
      <c r="S58" s="5"/>
      <c r="T58" s="5"/>
      <c r="U58" s="5">
        <v>7</v>
      </c>
      <c r="V58" s="5"/>
      <c r="W58" s="5"/>
    </row>
    <row r="59" spans="1:23" x14ac:dyDescent="0.25">
      <c r="A59" s="5">
        <v>8</v>
      </c>
      <c r="B59" s="5"/>
      <c r="C59" s="5"/>
      <c r="D59" s="5"/>
      <c r="E59" s="5">
        <v>8</v>
      </c>
      <c r="F59" s="5"/>
      <c r="G59" s="5"/>
      <c r="H59" s="5"/>
      <c r="I59" s="5">
        <v>8</v>
      </c>
      <c r="J59" s="5"/>
      <c r="K59" s="5"/>
      <c r="L59" s="5"/>
      <c r="M59" s="5">
        <v>8</v>
      </c>
      <c r="N59" s="5"/>
      <c r="O59" s="5"/>
      <c r="P59" s="5"/>
      <c r="Q59" s="5">
        <v>8</v>
      </c>
      <c r="R59" s="5"/>
      <c r="S59" s="5"/>
      <c r="T59" s="5"/>
      <c r="U59" s="5">
        <v>8</v>
      </c>
      <c r="V59" s="5"/>
      <c r="W59" s="5"/>
    </row>
    <row r="60" spans="1:23" x14ac:dyDescent="0.25">
      <c r="A60" s="5">
        <v>9</v>
      </c>
      <c r="B60" s="5"/>
      <c r="C60" s="5"/>
      <c r="D60" s="5"/>
      <c r="E60" s="5">
        <v>9</v>
      </c>
      <c r="F60" s="5"/>
      <c r="G60" s="5"/>
      <c r="H60" s="5"/>
      <c r="I60" s="5">
        <v>9</v>
      </c>
      <c r="J60" s="5"/>
      <c r="K60" s="5"/>
      <c r="L60" s="5"/>
      <c r="M60" s="5">
        <v>9</v>
      </c>
      <c r="N60" s="5"/>
      <c r="O60" s="5"/>
      <c r="P60" s="5"/>
      <c r="Q60" s="5">
        <v>9</v>
      </c>
      <c r="R60" s="5"/>
      <c r="S60" s="5"/>
      <c r="T60" s="5"/>
      <c r="U60" s="5">
        <v>9</v>
      </c>
      <c r="V60" s="5"/>
      <c r="W60" s="5"/>
    </row>
    <row r="61" spans="1:23" x14ac:dyDescent="0.25">
      <c r="A61" s="5">
        <v>10</v>
      </c>
      <c r="B61" s="5"/>
      <c r="C61" s="5"/>
      <c r="D61" s="5"/>
      <c r="E61" s="5">
        <v>10</v>
      </c>
      <c r="F61" s="5"/>
      <c r="G61" s="5"/>
      <c r="H61" s="5"/>
      <c r="I61" s="5">
        <v>10</v>
      </c>
      <c r="J61" s="5"/>
      <c r="K61" s="5"/>
      <c r="L61" s="5"/>
      <c r="M61" s="5">
        <v>10</v>
      </c>
      <c r="N61" s="5"/>
      <c r="O61" s="5"/>
      <c r="P61" s="5"/>
      <c r="Q61" s="5">
        <v>10</v>
      </c>
      <c r="R61" s="5"/>
      <c r="S61" s="5"/>
      <c r="T61" s="5"/>
      <c r="U61" s="5">
        <v>10</v>
      </c>
      <c r="V61" s="5"/>
      <c r="W61" s="5"/>
    </row>
  </sheetData>
  <mergeCells count="24">
    <mergeCell ref="U5:W5"/>
    <mergeCell ref="A20:C20"/>
    <mergeCell ref="E20:G20"/>
    <mergeCell ref="I20:K20"/>
    <mergeCell ref="M20:O20"/>
    <mergeCell ref="Q20:S20"/>
    <mergeCell ref="U20:W20"/>
    <mergeCell ref="A5:C5"/>
    <mergeCell ref="E5:G5"/>
    <mergeCell ref="M5:O5"/>
    <mergeCell ref="Q5:S5"/>
    <mergeCell ref="I5:K5"/>
    <mergeCell ref="U35:W35"/>
    <mergeCell ref="A50:C50"/>
    <mergeCell ref="E50:G50"/>
    <mergeCell ref="I50:K50"/>
    <mergeCell ref="M50:O50"/>
    <mergeCell ref="Q50:S50"/>
    <mergeCell ref="U50:W50"/>
    <mergeCell ref="A35:C35"/>
    <mergeCell ref="E35:G35"/>
    <mergeCell ref="I35:K35"/>
    <mergeCell ref="M35:O35"/>
    <mergeCell ref="Q35:S35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16" sqref="I16"/>
    </sheetView>
  </sheetViews>
  <sheetFormatPr baseColWidth="10" defaultColWidth="11.42578125" defaultRowHeight="15" x14ac:dyDescent="0.25"/>
  <cols>
    <col min="1" max="1" width="28.85546875" style="5" customWidth="1"/>
    <col min="2" max="2" width="11.42578125" style="5"/>
    <col min="3" max="3" width="13.5703125" style="5" bestFit="1" customWidth="1"/>
    <col min="4" max="16384" width="11.42578125" style="5"/>
  </cols>
  <sheetData>
    <row r="1" spans="1:11" x14ac:dyDescent="0.25">
      <c r="B1" s="5" t="s">
        <v>218</v>
      </c>
      <c r="C1" s="5" t="s">
        <v>219</v>
      </c>
      <c r="D1" s="5" t="s">
        <v>220</v>
      </c>
    </row>
    <row r="2" spans="1:11" x14ac:dyDescent="0.25">
      <c r="A2" s="5" t="s">
        <v>221</v>
      </c>
      <c r="B2" s="5" t="s">
        <v>123</v>
      </c>
      <c r="C2" s="5" t="s">
        <v>222</v>
      </c>
    </row>
    <row r="3" spans="1:11" x14ac:dyDescent="0.25">
      <c r="A3" s="5" t="s">
        <v>223</v>
      </c>
      <c r="B3" s="5" t="s">
        <v>123</v>
      </c>
      <c r="C3" s="5" t="s">
        <v>222</v>
      </c>
      <c r="D3" s="5" t="s">
        <v>224</v>
      </c>
    </row>
    <row r="7" spans="1:11" x14ac:dyDescent="0.25">
      <c r="B7" s="5" t="s">
        <v>123</v>
      </c>
      <c r="C7" s="5" t="s">
        <v>222</v>
      </c>
      <c r="I7" s="5" t="s">
        <v>123</v>
      </c>
      <c r="J7" s="5" t="s">
        <v>222</v>
      </c>
      <c r="K7" s="5" t="s">
        <v>224</v>
      </c>
    </row>
    <row r="8" spans="1:11" x14ac:dyDescent="0.25">
      <c r="A8" s="5" t="s">
        <v>338</v>
      </c>
      <c r="B8" s="5">
        <v>6</v>
      </c>
      <c r="C8" s="5">
        <v>6</v>
      </c>
      <c r="I8" s="5">
        <v>6.5</v>
      </c>
      <c r="J8" s="5">
        <v>6</v>
      </c>
      <c r="K8" s="5">
        <v>2</v>
      </c>
    </row>
    <row r="9" spans="1:11" x14ac:dyDescent="0.25">
      <c r="A9" s="5" t="s">
        <v>379</v>
      </c>
      <c r="B9" s="5">
        <v>165</v>
      </c>
      <c r="C9" s="5">
        <v>156</v>
      </c>
      <c r="I9" s="5">
        <v>165</v>
      </c>
      <c r="J9" s="5">
        <v>156</v>
      </c>
      <c r="K9" s="5">
        <v>307</v>
      </c>
    </row>
    <row r="10" spans="1:11" x14ac:dyDescent="0.25">
      <c r="A10" s="5" t="s">
        <v>380</v>
      </c>
      <c r="B10" s="5">
        <f>B8*B9</f>
        <v>990</v>
      </c>
      <c r="C10" s="5">
        <f>C8*C9</f>
        <v>936</v>
      </c>
      <c r="I10" s="5">
        <f>I8*I9</f>
        <v>1072.5</v>
      </c>
      <c r="J10" s="5">
        <f>J8*J9</f>
        <v>936</v>
      </c>
      <c r="K10" s="5">
        <f>K8*K9</f>
        <v>614</v>
      </c>
    </row>
    <row r="11" spans="1:11" x14ac:dyDescent="0.25">
      <c r="A11" s="116" t="s">
        <v>381</v>
      </c>
    </row>
    <row r="12" spans="1:11" x14ac:dyDescent="0.25">
      <c r="A12" s="5" t="s">
        <v>382</v>
      </c>
      <c r="B12" s="5">
        <f>B25</f>
        <v>922</v>
      </c>
      <c r="C12" s="5">
        <v>472</v>
      </c>
      <c r="I12" s="5">
        <v>912</v>
      </c>
      <c r="J12" s="5">
        <v>472</v>
      </c>
      <c r="K12" s="5">
        <v>470</v>
      </c>
    </row>
    <row r="13" spans="1:11" x14ac:dyDescent="0.25">
      <c r="A13" s="5" t="s">
        <v>383</v>
      </c>
      <c r="B13" s="5">
        <f>B10-B12</f>
        <v>68</v>
      </c>
      <c r="C13" s="5">
        <f t="shared" ref="C13" si="0">C10-C12</f>
        <v>464</v>
      </c>
      <c r="I13" s="5">
        <f>I10-I12</f>
        <v>160.5</v>
      </c>
      <c r="J13" s="5">
        <f t="shared" ref="J13:K13" si="1">J10-J12</f>
        <v>464</v>
      </c>
      <c r="K13" s="5">
        <f t="shared" si="1"/>
        <v>144</v>
      </c>
    </row>
    <row r="15" spans="1:11" x14ac:dyDescent="0.25">
      <c r="A15" s="5" t="s">
        <v>384</v>
      </c>
      <c r="B15" s="5">
        <f>AVERAGE(B13:C13)</f>
        <v>266</v>
      </c>
      <c r="I15" s="5">
        <f>AVERAGE(I13:K13)</f>
        <v>256.16666666666669</v>
      </c>
    </row>
    <row r="18" spans="1:11" x14ac:dyDescent="0.25">
      <c r="A18" s="5" t="s">
        <v>35</v>
      </c>
      <c r="B18" s="5">
        <v>50</v>
      </c>
      <c r="C18" s="5">
        <v>60</v>
      </c>
      <c r="I18" s="5">
        <v>50</v>
      </c>
      <c r="J18" s="5">
        <v>60</v>
      </c>
      <c r="K18" s="5">
        <v>70</v>
      </c>
    </row>
    <row r="19" spans="1:11" x14ac:dyDescent="0.25">
      <c r="A19" s="5" t="s">
        <v>68</v>
      </c>
      <c r="B19" s="5">
        <v>100</v>
      </c>
      <c r="C19" s="5">
        <v>52</v>
      </c>
      <c r="I19" s="5">
        <v>90</v>
      </c>
      <c r="J19" s="5">
        <v>52</v>
      </c>
      <c r="K19" s="5">
        <v>0</v>
      </c>
    </row>
    <row r="20" spans="1:11" x14ac:dyDescent="0.25">
      <c r="A20" s="5" t="s">
        <v>41</v>
      </c>
      <c r="B20" s="5">
        <v>72</v>
      </c>
      <c r="C20" s="5">
        <v>60</v>
      </c>
      <c r="I20" s="5">
        <v>72</v>
      </c>
      <c r="J20" s="5">
        <v>60</v>
      </c>
      <c r="K20" s="5">
        <v>100</v>
      </c>
    </row>
    <row r="21" spans="1:11" x14ac:dyDescent="0.25">
      <c r="A21" s="5" t="s">
        <v>42</v>
      </c>
      <c r="B21" s="5">
        <v>300</v>
      </c>
      <c r="C21" s="5">
        <v>300</v>
      </c>
      <c r="I21" s="5">
        <v>300</v>
      </c>
      <c r="J21" s="5">
        <v>300</v>
      </c>
      <c r="K21" s="5">
        <v>300</v>
      </c>
    </row>
    <row r="22" spans="1:11" x14ac:dyDescent="0.25">
      <c r="A22" s="5" t="s">
        <v>43</v>
      </c>
      <c r="B22" s="5">
        <v>400</v>
      </c>
      <c r="C22" s="5" t="s">
        <v>101</v>
      </c>
      <c r="I22" s="5">
        <v>400</v>
      </c>
      <c r="J22" s="5" t="s">
        <v>101</v>
      </c>
      <c r="K22" s="5" t="s">
        <v>101</v>
      </c>
    </row>
    <row r="23" spans="1:11" x14ac:dyDescent="0.25">
      <c r="A23" s="5" t="s">
        <v>44</v>
      </c>
      <c r="B23" s="5" t="s">
        <v>113</v>
      </c>
      <c r="C23" s="5" t="s">
        <v>101</v>
      </c>
      <c r="I23" s="5" t="s">
        <v>113</v>
      </c>
      <c r="J23" s="5" t="s">
        <v>101</v>
      </c>
      <c r="K23" s="5" t="s">
        <v>113</v>
      </c>
    </row>
    <row r="24" spans="1:11" x14ac:dyDescent="0.25">
      <c r="A24" s="5" t="s">
        <v>45</v>
      </c>
      <c r="B24" s="5" t="s">
        <v>101</v>
      </c>
      <c r="C24" s="5" t="s">
        <v>101</v>
      </c>
      <c r="I24" s="5" t="s">
        <v>101</v>
      </c>
      <c r="J24" s="5" t="s">
        <v>101</v>
      </c>
      <c r="K24" s="5" t="s">
        <v>101</v>
      </c>
    </row>
    <row r="25" spans="1:11" x14ac:dyDescent="0.25">
      <c r="A25" s="5" t="s">
        <v>46</v>
      </c>
      <c r="B25" s="5">
        <f>SUM(B18:B24)</f>
        <v>922</v>
      </c>
      <c r="C25" s="5">
        <v>472</v>
      </c>
      <c r="I25" s="5">
        <f>SUM(I18:I24)</f>
        <v>912</v>
      </c>
      <c r="J25" s="5">
        <v>472</v>
      </c>
      <c r="K25" s="5">
        <v>470</v>
      </c>
    </row>
    <row r="26" spans="1:11" x14ac:dyDescent="0.25">
      <c r="A26" s="5" t="s">
        <v>69</v>
      </c>
      <c r="B26" s="5" t="s">
        <v>101</v>
      </c>
      <c r="C26" s="5" t="s">
        <v>101</v>
      </c>
      <c r="I26" s="5" t="s">
        <v>101</v>
      </c>
      <c r="J26" s="5" t="s">
        <v>101</v>
      </c>
      <c r="K26" s="5" t="s">
        <v>101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4" workbookViewId="0">
      <selection activeCell="I29" sqref="I29"/>
    </sheetView>
  </sheetViews>
  <sheetFormatPr baseColWidth="10" defaultColWidth="11.42578125" defaultRowHeight="15" x14ac:dyDescent="0.25"/>
  <cols>
    <col min="1" max="1" width="23" style="5" bestFit="1" customWidth="1"/>
    <col min="2" max="7" width="11.42578125" style="5"/>
    <col min="8" max="8" width="23" style="5" bestFit="1" customWidth="1"/>
    <col min="9" max="16384" width="11.42578125" style="5"/>
  </cols>
  <sheetData>
    <row r="1" spans="1:14" x14ac:dyDescent="0.25">
      <c r="B1" s="5" t="s">
        <v>218</v>
      </c>
      <c r="C1" s="5" t="s">
        <v>219</v>
      </c>
      <c r="D1" s="5" t="s">
        <v>220</v>
      </c>
    </row>
    <row r="2" spans="1:14" x14ac:dyDescent="0.25">
      <c r="A2" s="5" t="s">
        <v>221</v>
      </c>
      <c r="B2" s="5" t="s">
        <v>123</v>
      </c>
      <c r="C2" s="5" t="s">
        <v>222</v>
      </c>
    </row>
    <row r="3" spans="1:14" x14ac:dyDescent="0.25">
      <c r="A3" s="5" t="s">
        <v>223</v>
      </c>
      <c r="B3" s="5" t="s">
        <v>123</v>
      </c>
      <c r="C3" s="5" t="s">
        <v>222</v>
      </c>
      <c r="D3" s="5" t="s">
        <v>224</v>
      </c>
    </row>
    <row r="7" spans="1:14" x14ac:dyDescent="0.25">
      <c r="A7" s="109"/>
      <c r="B7" s="6" t="s">
        <v>123</v>
      </c>
      <c r="C7" s="6" t="s">
        <v>332</v>
      </c>
      <c r="D7" s="6"/>
      <c r="E7" s="6"/>
      <c r="F7" s="6"/>
      <c r="G7" s="6"/>
      <c r="H7" s="110"/>
      <c r="I7" s="6" t="s">
        <v>123</v>
      </c>
      <c r="J7" s="6" t="s">
        <v>332</v>
      </c>
      <c r="K7" s="6" t="s">
        <v>224</v>
      </c>
    </row>
    <row r="8" spans="1:14" x14ac:dyDescent="0.25">
      <c r="A8" s="111" t="s">
        <v>338</v>
      </c>
      <c r="B8" s="112">
        <v>6</v>
      </c>
      <c r="C8" s="112">
        <v>6</v>
      </c>
      <c r="D8" s="112"/>
      <c r="E8" s="112"/>
      <c r="F8" s="112"/>
      <c r="G8" s="112"/>
      <c r="H8" s="111" t="s">
        <v>338</v>
      </c>
      <c r="I8" s="112">
        <v>6.5</v>
      </c>
      <c r="J8" s="112">
        <v>6</v>
      </c>
      <c r="K8" s="112">
        <v>2</v>
      </c>
    </row>
    <row r="9" spans="1:14" x14ac:dyDescent="0.25">
      <c r="A9" s="110" t="s">
        <v>251</v>
      </c>
      <c r="B9" s="134"/>
      <c r="C9" s="134"/>
      <c r="D9" s="134"/>
      <c r="E9" s="134"/>
      <c r="F9" s="134"/>
      <c r="G9" s="134"/>
      <c r="H9" s="110" t="s">
        <v>251</v>
      </c>
      <c r="I9" s="134"/>
      <c r="J9" s="134"/>
      <c r="K9" s="134"/>
      <c r="L9" s="134"/>
      <c r="M9" s="134"/>
      <c r="N9" s="134"/>
    </row>
    <row r="10" spans="1:14" x14ac:dyDescent="0.25">
      <c r="A10" s="109" t="s">
        <v>32</v>
      </c>
      <c r="B10" s="134" t="s">
        <v>386</v>
      </c>
      <c r="C10" s="134" t="s">
        <v>387</v>
      </c>
      <c r="D10" s="134"/>
      <c r="E10" s="134"/>
      <c r="F10" s="134"/>
      <c r="G10" s="134"/>
      <c r="H10" s="109" t="s">
        <v>32</v>
      </c>
      <c r="I10" s="134" t="s">
        <v>386</v>
      </c>
      <c r="J10" s="134" t="s">
        <v>387</v>
      </c>
      <c r="K10" s="134"/>
      <c r="L10" s="134"/>
      <c r="M10" s="134"/>
      <c r="N10" s="134"/>
    </row>
    <row r="11" spans="1:14" x14ac:dyDescent="0.25">
      <c r="A11" s="109" t="s">
        <v>225</v>
      </c>
      <c r="B11" s="135">
        <v>0.27</v>
      </c>
      <c r="C11" s="135">
        <v>0.2</v>
      </c>
      <c r="D11" s="134"/>
      <c r="E11" s="134"/>
      <c r="F11" s="134"/>
      <c r="G11" s="134"/>
      <c r="H11" s="109" t="s">
        <v>225</v>
      </c>
      <c r="I11" s="135">
        <v>0.27</v>
      </c>
      <c r="J11" s="135">
        <v>0.2</v>
      </c>
      <c r="K11" s="134"/>
      <c r="L11" s="134"/>
      <c r="M11" s="134"/>
      <c r="N11" s="134"/>
    </row>
    <row r="12" spans="1:14" x14ac:dyDescent="0.25">
      <c r="A12" s="109" t="s">
        <v>388</v>
      </c>
      <c r="B12" s="134">
        <v>300</v>
      </c>
      <c r="C12" s="134">
        <v>300</v>
      </c>
      <c r="D12" s="134"/>
      <c r="E12" s="134"/>
      <c r="F12" s="134"/>
      <c r="G12" s="134"/>
      <c r="H12" s="109" t="s">
        <v>388</v>
      </c>
      <c r="I12" s="134">
        <v>300</v>
      </c>
      <c r="J12" s="134">
        <v>300</v>
      </c>
      <c r="K12" s="134"/>
      <c r="L12" s="134"/>
      <c r="M12" s="134"/>
      <c r="N12" s="134"/>
    </row>
    <row r="13" spans="1:14" x14ac:dyDescent="0.25">
      <c r="A13" s="109" t="s">
        <v>389</v>
      </c>
      <c r="B13" s="134">
        <f>B11*B12</f>
        <v>81</v>
      </c>
      <c r="C13" s="134">
        <f>C11*C12</f>
        <v>60</v>
      </c>
      <c r="D13" s="134"/>
      <c r="E13" s="134"/>
      <c r="F13" s="134"/>
      <c r="G13" s="134"/>
      <c r="H13" s="109" t="s">
        <v>389</v>
      </c>
      <c r="I13" s="134">
        <f>I11*I12</f>
        <v>81</v>
      </c>
      <c r="J13" s="134">
        <f>J11*J12</f>
        <v>60</v>
      </c>
      <c r="K13" s="134"/>
      <c r="L13" s="134"/>
      <c r="M13" s="134"/>
      <c r="N13" s="134"/>
    </row>
    <row r="14" spans="1:14" x14ac:dyDescent="0.25">
      <c r="A14" s="109"/>
      <c r="B14" s="134"/>
      <c r="C14" s="134"/>
      <c r="D14" s="134"/>
      <c r="E14" s="134"/>
      <c r="F14" s="134"/>
      <c r="G14" s="134"/>
      <c r="H14" s="109"/>
      <c r="I14" s="134"/>
      <c r="J14" s="134"/>
      <c r="K14" s="134"/>
      <c r="L14" s="134"/>
      <c r="M14" s="134"/>
      <c r="N14" s="134"/>
    </row>
    <row r="15" spans="1:14" x14ac:dyDescent="0.25">
      <c r="A15" s="109" t="s">
        <v>32</v>
      </c>
      <c r="B15" s="134" t="s">
        <v>337</v>
      </c>
      <c r="C15" s="134" t="s">
        <v>337</v>
      </c>
      <c r="D15" s="134"/>
      <c r="E15" s="134"/>
      <c r="F15" s="134"/>
      <c r="G15" s="134"/>
      <c r="H15" s="109" t="s">
        <v>32</v>
      </c>
      <c r="I15" s="134" t="s">
        <v>337</v>
      </c>
      <c r="J15" s="134" t="s">
        <v>337</v>
      </c>
      <c r="K15" s="134"/>
      <c r="L15" s="134"/>
      <c r="M15" s="134"/>
      <c r="N15" s="134"/>
    </row>
    <row r="16" spans="1:14" x14ac:dyDescent="0.25">
      <c r="A16" s="109" t="s">
        <v>225</v>
      </c>
      <c r="B16" s="135">
        <v>0.27</v>
      </c>
      <c r="C16" s="135">
        <v>0.27</v>
      </c>
      <c r="D16" s="134"/>
      <c r="E16" s="134"/>
      <c r="F16" s="134"/>
      <c r="G16" s="134"/>
      <c r="H16" s="109" t="s">
        <v>225</v>
      </c>
      <c r="I16" s="135">
        <v>0.27</v>
      </c>
      <c r="J16" s="135">
        <v>0.27</v>
      </c>
      <c r="K16" s="134"/>
      <c r="L16" s="134"/>
      <c r="M16" s="134"/>
      <c r="N16" s="134"/>
    </row>
    <row r="17" spans="1:14" x14ac:dyDescent="0.25">
      <c r="A17" s="109" t="s">
        <v>388</v>
      </c>
      <c r="B17" s="134">
        <v>250</v>
      </c>
      <c r="C17" s="134">
        <v>150</v>
      </c>
      <c r="D17" s="134"/>
      <c r="E17" s="134"/>
      <c r="F17" s="134"/>
      <c r="G17" s="134"/>
      <c r="H17" s="109" t="s">
        <v>388</v>
      </c>
      <c r="I17" s="134">
        <v>200</v>
      </c>
      <c r="J17" s="134">
        <v>150</v>
      </c>
      <c r="K17" s="134"/>
      <c r="L17" s="134"/>
      <c r="M17" s="134"/>
      <c r="N17" s="134"/>
    </row>
    <row r="18" spans="1:14" x14ac:dyDescent="0.25">
      <c r="A18" s="109" t="s">
        <v>389</v>
      </c>
      <c r="B18" s="134">
        <f>B16*B17</f>
        <v>67.5</v>
      </c>
      <c r="C18" s="134">
        <f>C16*C17</f>
        <v>40.5</v>
      </c>
      <c r="D18" s="134"/>
      <c r="E18" s="134"/>
      <c r="F18" s="134"/>
      <c r="G18" s="134"/>
      <c r="H18" s="109" t="s">
        <v>389</v>
      </c>
      <c r="I18" s="134">
        <f>I16*I17</f>
        <v>54</v>
      </c>
      <c r="J18" s="134">
        <f>J16*J17</f>
        <v>40.5</v>
      </c>
      <c r="K18" s="134"/>
      <c r="L18" s="134"/>
      <c r="M18" s="134"/>
      <c r="N18" s="134"/>
    </row>
    <row r="19" spans="1:14" x14ac:dyDescent="0.25">
      <c r="A19" s="109"/>
      <c r="B19" s="134"/>
      <c r="C19" s="134"/>
      <c r="D19" s="134"/>
      <c r="E19" s="134"/>
      <c r="F19" s="134"/>
      <c r="G19" s="134"/>
      <c r="H19" s="109"/>
      <c r="I19" s="134"/>
      <c r="J19" s="134"/>
      <c r="K19" s="134"/>
      <c r="L19" s="134"/>
      <c r="M19" s="134"/>
      <c r="N19" s="134"/>
    </row>
    <row r="20" spans="1:14" x14ac:dyDescent="0.25">
      <c r="A20" s="109" t="s">
        <v>32</v>
      </c>
      <c r="B20" s="134"/>
      <c r="C20" s="134"/>
      <c r="D20" s="134"/>
      <c r="E20" s="134"/>
      <c r="F20" s="134"/>
      <c r="G20" s="134"/>
      <c r="H20" s="109" t="s">
        <v>32</v>
      </c>
      <c r="I20" s="134"/>
      <c r="J20" s="134"/>
      <c r="K20" s="134"/>
      <c r="L20" s="134"/>
      <c r="M20" s="134"/>
      <c r="N20" s="134"/>
    </row>
    <row r="21" spans="1:14" x14ac:dyDescent="0.25">
      <c r="A21" s="109" t="s">
        <v>225</v>
      </c>
      <c r="B21" s="134"/>
      <c r="C21" s="134"/>
      <c r="D21" s="134"/>
      <c r="E21" s="134"/>
      <c r="F21" s="134"/>
      <c r="G21" s="134"/>
      <c r="H21" s="109" t="s">
        <v>225</v>
      </c>
      <c r="I21" s="134"/>
      <c r="J21" s="134"/>
      <c r="K21" s="134"/>
      <c r="L21" s="134"/>
      <c r="M21" s="134"/>
      <c r="N21" s="134"/>
    </row>
    <row r="22" spans="1:14" x14ac:dyDescent="0.25">
      <c r="A22" s="109" t="s">
        <v>388</v>
      </c>
      <c r="H22" s="109" t="s">
        <v>388</v>
      </c>
    </row>
    <row r="23" spans="1:14" x14ac:dyDescent="0.25">
      <c r="A23" s="109" t="s">
        <v>389</v>
      </c>
      <c r="H23" s="109" t="s">
        <v>389</v>
      </c>
    </row>
    <row r="24" spans="1:14" x14ac:dyDescent="0.25">
      <c r="A24" s="109"/>
      <c r="H24" s="109"/>
    </row>
    <row r="25" spans="1:14" x14ac:dyDescent="0.25">
      <c r="A25" s="109"/>
      <c r="H25" s="109"/>
    </row>
    <row r="26" spans="1:14" x14ac:dyDescent="0.25">
      <c r="A26" s="109" t="s">
        <v>390</v>
      </c>
      <c r="B26" s="5">
        <f>B13+B18</f>
        <v>148.5</v>
      </c>
      <c r="C26" s="5">
        <f>C13+C18</f>
        <v>100.5</v>
      </c>
      <c r="H26" s="109" t="s">
        <v>390</v>
      </c>
      <c r="I26" s="5">
        <f>I13+I18</f>
        <v>135</v>
      </c>
      <c r="J26" s="5">
        <f>J13+J18</f>
        <v>100.5</v>
      </c>
      <c r="K26" s="5">
        <v>0</v>
      </c>
    </row>
    <row r="27" spans="1:14" x14ac:dyDescent="0.25">
      <c r="A27" s="109"/>
      <c r="H27" s="109"/>
    </row>
    <row r="28" spans="1:14" x14ac:dyDescent="0.25">
      <c r="A28" s="109" t="s">
        <v>391</v>
      </c>
      <c r="B28" s="5">
        <f>AVERAGE(B26:C26)</f>
        <v>124.5</v>
      </c>
      <c r="H28" s="109" t="s">
        <v>391</v>
      </c>
      <c r="I28" s="5">
        <f>AVERAGE(I26:K26)</f>
        <v>78.5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F20" sqref="F20"/>
    </sheetView>
  </sheetViews>
  <sheetFormatPr baseColWidth="10" defaultColWidth="11.42578125" defaultRowHeight="15" x14ac:dyDescent="0.25"/>
  <cols>
    <col min="1" max="1" width="29.7109375" style="5" bestFit="1" customWidth="1"/>
    <col min="2" max="10" width="11.42578125" style="5"/>
    <col min="11" max="11" width="20.7109375" style="5" customWidth="1"/>
    <col min="12" max="12" width="22" style="5" bestFit="1" customWidth="1"/>
    <col min="13" max="13" width="11.42578125" style="5"/>
    <col min="14" max="14" width="16.7109375" style="5" customWidth="1"/>
    <col min="15" max="16384" width="11.42578125" style="5"/>
  </cols>
  <sheetData>
    <row r="1" spans="1:15" x14ac:dyDescent="0.25">
      <c r="B1" s="5" t="s">
        <v>218</v>
      </c>
      <c r="C1" s="5" t="s">
        <v>219</v>
      </c>
      <c r="D1" s="5" t="s">
        <v>220</v>
      </c>
      <c r="J1" s="6" t="s">
        <v>253</v>
      </c>
      <c r="K1" s="6" t="s">
        <v>351</v>
      </c>
      <c r="L1" s="6" t="s">
        <v>354</v>
      </c>
      <c r="M1" s="6"/>
      <c r="N1" s="6" t="s">
        <v>253</v>
      </c>
      <c r="O1" s="98" t="s">
        <v>254</v>
      </c>
    </row>
    <row r="2" spans="1:15" x14ac:dyDescent="0.25">
      <c r="A2" s="5" t="s">
        <v>221</v>
      </c>
      <c r="B2" s="5" t="s">
        <v>123</v>
      </c>
      <c r="C2" s="5" t="s">
        <v>222</v>
      </c>
      <c r="J2" s="126" t="s">
        <v>356</v>
      </c>
      <c r="K2" s="132">
        <v>0.10299999999999999</v>
      </c>
      <c r="L2" s="116">
        <v>18</v>
      </c>
      <c r="M2" s="116"/>
      <c r="N2" s="113" t="s">
        <v>255</v>
      </c>
      <c r="O2" s="21">
        <v>0.85</v>
      </c>
    </row>
    <row r="3" spans="1:15" x14ac:dyDescent="0.25">
      <c r="A3" s="5" t="s">
        <v>223</v>
      </c>
      <c r="B3" s="5" t="s">
        <v>123</v>
      </c>
      <c r="C3" s="5" t="s">
        <v>222</v>
      </c>
      <c r="D3" s="5" t="s">
        <v>224</v>
      </c>
      <c r="J3" s="127" t="s">
        <v>357</v>
      </c>
      <c r="K3" s="132">
        <v>0.11700000000000001</v>
      </c>
      <c r="L3" s="5">
        <v>18.100000000000001</v>
      </c>
      <c r="N3" s="5" t="s">
        <v>256</v>
      </c>
      <c r="O3" s="5">
        <v>0.88</v>
      </c>
    </row>
    <row r="4" spans="1:15" x14ac:dyDescent="0.25">
      <c r="J4" s="103" t="s">
        <v>358</v>
      </c>
      <c r="K4" s="132">
        <v>0.126</v>
      </c>
      <c r="L4" s="5">
        <v>18.2</v>
      </c>
      <c r="N4" s="5" t="s">
        <v>257</v>
      </c>
      <c r="O4" s="5">
        <v>0.89</v>
      </c>
    </row>
    <row r="5" spans="1:15" x14ac:dyDescent="0.25">
      <c r="J5" s="103" t="s">
        <v>259</v>
      </c>
      <c r="K5" s="132">
        <v>0.11799999999999999</v>
      </c>
      <c r="L5" s="116">
        <v>18.399999999999999</v>
      </c>
      <c r="N5" s="5" t="s">
        <v>258</v>
      </c>
      <c r="O5" s="5">
        <v>0.89</v>
      </c>
    </row>
    <row r="6" spans="1:15" x14ac:dyDescent="0.25">
      <c r="J6" s="126" t="s">
        <v>292</v>
      </c>
      <c r="K6" s="132">
        <v>0.28999999999999998</v>
      </c>
      <c r="L6" s="116">
        <v>18.7</v>
      </c>
      <c r="M6" s="116"/>
      <c r="N6" s="5" t="s">
        <v>259</v>
      </c>
      <c r="O6" s="5">
        <v>0.89</v>
      </c>
    </row>
    <row r="7" spans="1:15" x14ac:dyDescent="0.25">
      <c r="B7" s="5" t="s">
        <v>123</v>
      </c>
      <c r="C7" s="5" t="s">
        <v>222</v>
      </c>
      <c r="F7" s="5" t="s">
        <v>123</v>
      </c>
      <c r="G7" s="5" t="s">
        <v>222</v>
      </c>
      <c r="H7" s="5" t="s">
        <v>224</v>
      </c>
      <c r="J7" s="5" t="s">
        <v>359</v>
      </c>
      <c r="K7" s="132">
        <v>0.20899999999999999</v>
      </c>
      <c r="L7" s="5">
        <v>28.8</v>
      </c>
      <c r="N7" s="5" t="s">
        <v>260</v>
      </c>
      <c r="O7" s="5">
        <v>0.89</v>
      </c>
    </row>
    <row r="8" spans="1:15" x14ac:dyDescent="0.25">
      <c r="A8" s="5" t="s">
        <v>348</v>
      </c>
      <c r="B8" s="5">
        <v>6</v>
      </c>
      <c r="C8" s="5">
        <v>6</v>
      </c>
      <c r="F8" s="5">
        <v>6.5</v>
      </c>
      <c r="G8" s="5">
        <v>6</v>
      </c>
      <c r="H8" s="5">
        <v>2</v>
      </c>
      <c r="J8" s="5" t="s">
        <v>360</v>
      </c>
      <c r="K8" s="132">
        <v>0.33700000000000002</v>
      </c>
      <c r="L8" s="116">
        <v>20.3</v>
      </c>
      <c r="M8" s="116"/>
      <c r="N8" s="5" t="s">
        <v>261</v>
      </c>
      <c r="O8" s="5">
        <v>0.87</v>
      </c>
    </row>
    <row r="9" spans="1:15" x14ac:dyDescent="0.25">
      <c r="A9" s="5" t="s">
        <v>349</v>
      </c>
      <c r="B9" s="101">
        <v>0.87</v>
      </c>
      <c r="C9" s="101">
        <v>0.89</v>
      </c>
      <c r="D9" s="101"/>
      <c r="E9" s="101"/>
      <c r="F9" s="101">
        <v>0.87</v>
      </c>
      <c r="G9" s="101">
        <v>0.89</v>
      </c>
      <c r="H9" s="101">
        <v>0.91</v>
      </c>
      <c r="J9" s="5" t="s">
        <v>361</v>
      </c>
      <c r="K9" s="132">
        <v>0.23899999999999999</v>
      </c>
      <c r="L9" s="116">
        <v>18.3</v>
      </c>
      <c r="N9" s="5" t="s">
        <v>262</v>
      </c>
      <c r="O9" s="5">
        <v>0.88</v>
      </c>
    </row>
    <row r="10" spans="1:15" x14ac:dyDescent="0.25">
      <c r="A10" s="5" t="s">
        <v>350</v>
      </c>
      <c r="B10" s="5">
        <f>B8*B9</f>
        <v>5.22</v>
      </c>
      <c r="C10" s="5">
        <f t="shared" ref="C10" si="0">C8*C9</f>
        <v>5.34</v>
      </c>
      <c r="F10" s="5">
        <f>F8*F9</f>
        <v>5.6550000000000002</v>
      </c>
      <c r="G10" s="5">
        <f t="shared" ref="G10:H10" si="1">G8*G9</f>
        <v>5.34</v>
      </c>
      <c r="H10" s="5">
        <f t="shared" si="1"/>
        <v>1.82</v>
      </c>
      <c r="J10" s="5" t="s">
        <v>362</v>
      </c>
      <c r="K10" s="132">
        <v>0.11</v>
      </c>
      <c r="L10" s="116">
        <v>19.5</v>
      </c>
      <c r="M10" s="116"/>
      <c r="N10" s="5" t="s">
        <v>263</v>
      </c>
      <c r="O10" s="5">
        <v>0.89</v>
      </c>
    </row>
    <row r="11" spans="1:15" ht="30" x14ac:dyDescent="0.25">
      <c r="A11" s="5" t="s">
        <v>351</v>
      </c>
      <c r="B11" s="102">
        <v>0.08</v>
      </c>
      <c r="C11" s="102">
        <v>0.126</v>
      </c>
      <c r="F11" s="102">
        <v>0.08</v>
      </c>
      <c r="G11" s="102">
        <v>0.126</v>
      </c>
      <c r="H11" s="102">
        <v>0.39600000000000002</v>
      </c>
      <c r="J11" s="126" t="s">
        <v>363</v>
      </c>
      <c r="K11" s="132">
        <v>0.08</v>
      </c>
      <c r="L11" s="129">
        <v>18.899999999999999</v>
      </c>
      <c r="M11" s="116"/>
      <c r="N11" s="5" t="s">
        <v>264</v>
      </c>
      <c r="O11" s="108">
        <v>0.9</v>
      </c>
    </row>
    <row r="12" spans="1:15" x14ac:dyDescent="0.25">
      <c r="A12" s="5" t="s">
        <v>352</v>
      </c>
      <c r="B12" s="5">
        <f>B10*B11</f>
        <v>0.41759999999999997</v>
      </c>
      <c r="C12" s="5">
        <f t="shared" ref="C12" si="2">C10*C11</f>
        <v>0.67283999999999999</v>
      </c>
      <c r="F12" s="5">
        <f>F10*F11</f>
        <v>0.45240000000000002</v>
      </c>
      <c r="G12" s="5">
        <f t="shared" ref="G12:H12" si="3">G10*G11</f>
        <v>0.67283999999999999</v>
      </c>
      <c r="H12" s="5">
        <f t="shared" si="3"/>
        <v>0.72072000000000003</v>
      </c>
      <c r="J12" s="126" t="s">
        <v>364</v>
      </c>
      <c r="K12" s="132">
        <v>0.191</v>
      </c>
      <c r="L12" s="5">
        <v>18.2</v>
      </c>
      <c r="N12" s="5" t="s">
        <v>265</v>
      </c>
      <c r="O12" s="5">
        <v>0.89</v>
      </c>
    </row>
    <row r="13" spans="1:15" x14ac:dyDescent="0.25">
      <c r="J13" s="105" t="s">
        <v>224</v>
      </c>
      <c r="K13" s="132">
        <v>0.39600000000000002</v>
      </c>
      <c r="L13" s="116">
        <v>23.6</v>
      </c>
      <c r="N13" s="5" t="s">
        <v>266</v>
      </c>
      <c r="O13" s="5">
        <v>0.91</v>
      </c>
    </row>
    <row r="14" spans="1:15" x14ac:dyDescent="0.25">
      <c r="A14" s="5" t="s">
        <v>353</v>
      </c>
      <c r="B14" s="5">
        <f>(SUM(B12:C12)/2)*1000</f>
        <v>545.22</v>
      </c>
      <c r="F14" s="5">
        <f>(SUM(F12:H12)/3)*1000</f>
        <v>615.31999999999994</v>
      </c>
      <c r="J14" s="5" t="s">
        <v>365</v>
      </c>
      <c r="K14" s="132">
        <v>9.4E-2</v>
      </c>
      <c r="L14" s="5">
        <v>18.7</v>
      </c>
      <c r="M14" s="116"/>
      <c r="N14" s="5" t="s">
        <v>267</v>
      </c>
      <c r="O14" s="5">
        <v>0.91</v>
      </c>
    </row>
    <row r="15" spans="1:15" x14ac:dyDescent="0.25">
      <c r="J15" s="105" t="s">
        <v>334</v>
      </c>
      <c r="K15" s="132">
        <v>0.16600000000000001</v>
      </c>
      <c r="L15" s="5">
        <v>28.7</v>
      </c>
      <c r="N15" s="5" t="s">
        <v>268</v>
      </c>
      <c r="O15" s="5">
        <v>0.22</v>
      </c>
    </row>
    <row r="16" spans="1:15" x14ac:dyDescent="0.25">
      <c r="A16" s="5" t="s">
        <v>354</v>
      </c>
      <c r="B16" s="5">
        <v>18.7</v>
      </c>
      <c r="C16" s="5">
        <v>18.2</v>
      </c>
      <c r="F16" s="5">
        <v>18.7</v>
      </c>
      <c r="G16" s="5">
        <v>18.2</v>
      </c>
      <c r="H16" s="116">
        <v>23.6</v>
      </c>
      <c r="J16" s="104" t="s">
        <v>366</v>
      </c>
      <c r="K16" s="132">
        <v>0.248</v>
      </c>
      <c r="L16" s="5">
        <v>18.600000000000001</v>
      </c>
      <c r="N16" s="5" t="s">
        <v>269</v>
      </c>
      <c r="O16" s="5">
        <v>0.94</v>
      </c>
    </row>
    <row r="17" spans="1:15" x14ac:dyDescent="0.25">
      <c r="A17" s="5" t="s">
        <v>347</v>
      </c>
      <c r="B17" s="5">
        <f>B16*B10</f>
        <v>97.61399999999999</v>
      </c>
      <c r="C17" s="5">
        <f t="shared" ref="C17:H17" si="4">C16*C10</f>
        <v>97.187999999999988</v>
      </c>
      <c r="F17" s="5">
        <f t="shared" si="4"/>
        <v>105.74850000000001</v>
      </c>
      <c r="G17" s="5">
        <f t="shared" si="4"/>
        <v>97.187999999999988</v>
      </c>
      <c r="H17" s="5">
        <f t="shared" si="4"/>
        <v>42.952000000000005</v>
      </c>
      <c r="J17" s="5" t="s">
        <v>367</v>
      </c>
      <c r="K17" s="132">
        <v>0.17699999999999999</v>
      </c>
      <c r="L17" s="5">
        <v>18.5</v>
      </c>
      <c r="M17" s="116"/>
      <c r="N17" s="5" t="s">
        <v>270</v>
      </c>
      <c r="O17" s="5">
        <v>0.9</v>
      </c>
    </row>
    <row r="18" spans="1:15" x14ac:dyDescent="0.25">
      <c r="J18" s="5" t="s">
        <v>368</v>
      </c>
      <c r="K18" s="132">
        <v>7.8E-2</v>
      </c>
      <c r="L18" s="5">
        <v>16.899999999999999</v>
      </c>
      <c r="N18" s="5" t="s">
        <v>271</v>
      </c>
      <c r="O18" s="5">
        <v>0.9</v>
      </c>
    </row>
    <row r="19" spans="1:15" x14ac:dyDescent="0.25">
      <c r="A19" s="5" t="s">
        <v>355</v>
      </c>
      <c r="B19" s="5">
        <f>AVERAGE(B17:C17)</f>
        <v>97.400999999999982</v>
      </c>
      <c r="F19" s="5">
        <f>AVERAGE(F17:H17)</f>
        <v>81.962833333333336</v>
      </c>
      <c r="J19" s="5" t="s">
        <v>369</v>
      </c>
      <c r="K19" s="132">
        <v>0.189</v>
      </c>
      <c r="L19" s="5">
        <v>18.899999999999999</v>
      </c>
      <c r="N19" s="5" t="s">
        <v>272</v>
      </c>
      <c r="O19" s="5">
        <v>0.9</v>
      </c>
    </row>
    <row r="20" spans="1:15" x14ac:dyDescent="0.25">
      <c r="J20" s="5" t="s">
        <v>370</v>
      </c>
      <c r="K20" s="132">
        <v>0.16200000000000001</v>
      </c>
      <c r="L20" s="5">
        <v>18.7</v>
      </c>
      <c r="N20" s="5" t="s">
        <v>273</v>
      </c>
      <c r="O20" s="5">
        <v>0.9</v>
      </c>
    </row>
    <row r="21" spans="1:15" x14ac:dyDescent="0.25">
      <c r="J21" s="5" t="s">
        <v>371</v>
      </c>
      <c r="K21" s="132">
        <v>0.10199999999999999</v>
      </c>
      <c r="L21" s="5">
        <v>17.7</v>
      </c>
      <c r="N21" s="5" t="s">
        <v>274</v>
      </c>
      <c r="O21" s="5">
        <v>0.9</v>
      </c>
    </row>
    <row r="22" spans="1:15" x14ac:dyDescent="0.25">
      <c r="J22" s="5" t="s">
        <v>372</v>
      </c>
      <c r="K22" s="132">
        <v>0.14699999999999999</v>
      </c>
      <c r="L22" s="129">
        <v>18.18</v>
      </c>
      <c r="N22" s="5" t="s">
        <v>275</v>
      </c>
      <c r="O22" s="5">
        <v>0.9</v>
      </c>
    </row>
    <row r="23" spans="1:15" x14ac:dyDescent="0.25">
      <c r="J23" s="5" t="s">
        <v>373</v>
      </c>
      <c r="K23" s="132">
        <v>0.11</v>
      </c>
      <c r="L23" s="5">
        <v>17.899999999999999</v>
      </c>
    </row>
    <row r="24" spans="1:15" ht="30" x14ac:dyDescent="0.25">
      <c r="J24" s="127" t="s">
        <v>374</v>
      </c>
      <c r="K24" s="132">
        <v>0.17280000000000001</v>
      </c>
      <c r="L24" s="133">
        <v>18.78</v>
      </c>
      <c r="N24" s="5" t="s">
        <v>375</v>
      </c>
    </row>
    <row r="26" spans="1:15" x14ac:dyDescent="0.25">
      <c r="J26" s="116" t="s">
        <v>376</v>
      </c>
      <c r="K26" s="5" t="s">
        <v>377</v>
      </c>
    </row>
    <row r="27" spans="1:15" x14ac:dyDescent="0.25">
      <c r="K27" s="5" t="s">
        <v>378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Output</vt:lpstr>
      <vt:lpstr>Data source</vt:lpstr>
      <vt:lpstr>Site characteristics</vt:lpstr>
      <vt:lpstr>Without legumes </vt:lpstr>
      <vt:lpstr>With legumes</vt:lpstr>
      <vt:lpstr>Data for yield stability</vt:lpstr>
      <vt:lpstr>GM</vt:lpstr>
      <vt:lpstr>N fertilizer</vt:lpstr>
      <vt:lpstr>Protein &amp; Energy Output</vt:lpstr>
      <vt:lpstr>Crop Diversity</vt:lpstr>
      <vt:lpstr>NO3</vt:lpstr>
      <vt:lpstr>N2O calculations</vt:lpstr>
      <vt:lpstr>N2O default values</vt:lpstr>
      <vt:lpstr>Mapping crops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2020-12-02T08:31:08Z</dcterms:modified>
</cp:coreProperties>
</file>