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otz\Desktop\final final\"/>
    </mc:Choice>
  </mc:AlternateContent>
  <bookViews>
    <workbookView xWindow="-105" yWindow="-105" windowWidth="19425" windowHeight="10425"/>
  </bookViews>
  <sheets>
    <sheet name="Output" sheetId="23" r:id="rId1"/>
    <sheet name="Data source" sheetId="18" r:id="rId2"/>
    <sheet name="Site characteristics" sheetId="1" r:id="rId3"/>
    <sheet name="Without legumes" sheetId="17" r:id="rId4"/>
    <sheet name="With legumes option 1 " sheetId="16" r:id="rId5"/>
    <sheet name="Data for yield stability" sheetId="12" r:id="rId6"/>
    <sheet name="GM" sheetId="19" r:id="rId7"/>
    <sheet name="N fertilizer" sheetId="20" r:id="rId8"/>
    <sheet name="Protein &amp; Energy Output" sheetId="21" r:id="rId9"/>
    <sheet name="Crop diversity" sheetId="22" r:id="rId10"/>
    <sheet name="NO3" sheetId="27" r:id="rId11"/>
    <sheet name="N2O calculations" sheetId="24" r:id="rId12"/>
    <sheet name="N2O default values" sheetId="25" r:id="rId13"/>
    <sheet name="Mapping crops" sheetId="26" r:id="rId1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2" i="12" l="1"/>
  <c r="C17" i="12"/>
  <c r="G17" i="12"/>
  <c r="O17" i="12"/>
  <c r="K17" i="12"/>
  <c r="I15" i="19"/>
  <c r="B15" i="19"/>
  <c r="I23" i="20"/>
  <c r="B23" i="20"/>
  <c r="B19" i="21"/>
  <c r="F19" i="21"/>
  <c r="G14" i="21"/>
  <c r="C14" i="21"/>
  <c r="K11" i="27" l="1"/>
  <c r="K6" i="27"/>
  <c r="J3" i="23" l="1"/>
  <c r="J2" i="23"/>
  <c r="K28" i="24" l="1"/>
  <c r="J28" i="24"/>
  <c r="I28" i="24"/>
  <c r="C28" i="24"/>
  <c r="D28" i="24"/>
  <c r="B28" i="24"/>
  <c r="I9" i="24" l="1"/>
  <c r="I10" i="24"/>
  <c r="I11" i="24"/>
  <c r="J11" i="24"/>
  <c r="K9" i="24"/>
  <c r="K11" i="24"/>
  <c r="B9" i="24"/>
  <c r="B10" i="24"/>
  <c r="B11" i="24"/>
  <c r="C10" i="24"/>
  <c r="C11" i="24"/>
  <c r="D10" i="24"/>
  <c r="D11" i="24"/>
  <c r="K7" i="24"/>
  <c r="K8" i="24" s="1"/>
  <c r="J7" i="24"/>
  <c r="I7" i="24"/>
  <c r="I24" i="24" s="1"/>
  <c r="D7" i="24"/>
  <c r="D8" i="24" s="1"/>
  <c r="C7" i="24"/>
  <c r="C24" i="24"/>
  <c r="B7" i="24"/>
  <c r="B8" i="24" s="1"/>
  <c r="D4" i="24"/>
  <c r="C4" i="24"/>
  <c r="B4" i="24"/>
  <c r="A4" i="24"/>
  <c r="D3" i="24"/>
  <c r="C3" i="24"/>
  <c r="B3" i="24"/>
  <c r="A3" i="24"/>
  <c r="D2" i="24"/>
  <c r="C2" i="24"/>
  <c r="B2" i="24"/>
  <c r="A2" i="24"/>
  <c r="D1" i="24"/>
  <c r="C1" i="24"/>
  <c r="B1" i="24"/>
  <c r="A1" i="24"/>
  <c r="T24" i="26"/>
  <c r="S24" i="26"/>
  <c r="R24" i="26"/>
  <c r="Q24" i="26"/>
  <c r="P24" i="26"/>
  <c r="M24" i="26"/>
  <c r="L24" i="26"/>
  <c r="K24" i="26"/>
  <c r="J24" i="26"/>
  <c r="I24" i="26"/>
  <c r="F24" i="26"/>
  <c r="E24" i="26"/>
  <c r="D24" i="26"/>
  <c r="C24" i="26"/>
  <c r="B24" i="26"/>
  <c r="U22" i="25"/>
  <c r="U21" i="25"/>
  <c r="U20" i="25"/>
  <c r="U19" i="25"/>
  <c r="U18" i="25"/>
  <c r="Q18" i="25"/>
  <c r="U17" i="25"/>
  <c r="Q17" i="25"/>
  <c r="U16" i="25"/>
  <c r="R16" i="25"/>
  <c r="P16" i="25"/>
  <c r="U15" i="25"/>
  <c r="U14" i="25"/>
  <c r="U13" i="25"/>
  <c r="U12" i="25"/>
  <c r="R12" i="25"/>
  <c r="U11" i="25"/>
  <c r="R11" i="25"/>
  <c r="P11" i="25"/>
  <c r="U10" i="25"/>
  <c r="P10" i="25"/>
  <c r="U9" i="25"/>
  <c r="R9" i="25"/>
  <c r="U8" i="25"/>
  <c r="U7" i="25"/>
  <c r="U6" i="25"/>
  <c r="U5" i="25"/>
  <c r="U4" i="25"/>
  <c r="E4" i="25"/>
  <c r="U3" i="25"/>
  <c r="E3" i="25"/>
  <c r="U2" i="25"/>
  <c r="G2" i="25"/>
  <c r="E2" i="25"/>
  <c r="K27" i="24"/>
  <c r="J27" i="24"/>
  <c r="I27" i="24"/>
  <c r="D27" i="24"/>
  <c r="C27" i="24"/>
  <c r="B27" i="24"/>
  <c r="J8" i="24"/>
  <c r="C8" i="24"/>
  <c r="C14" i="24" s="1"/>
  <c r="C15" i="24" s="1"/>
  <c r="C17" i="24" s="1"/>
  <c r="B24" i="24"/>
  <c r="D24" i="24"/>
  <c r="J24" i="24"/>
  <c r="D22" i="22"/>
  <c r="E22" i="22" s="1"/>
  <c r="E23" i="22" s="1"/>
  <c r="Q3" i="23" s="1"/>
  <c r="B22" i="22"/>
  <c r="D20" i="22"/>
  <c r="E20" i="22"/>
  <c r="B20" i="22"/>
  <c r="D15" i="22"/>
  <c r="E15" i="22" s="1"/>
  <c r="B15" i="22"/>
  <c r="D14" i="22"/>
  <c r="E14" i="22" s="1"/>
  <c r="B14" i="22"/>
  <c r="F8" i="22"/>
  <c r="H10" i="21"/>
  <c r="H17" i="21" s="1"/>
  <c r="G10" i="21"/>
  <c r="G17" i="21" s="1"/>
  <c r="F10" i="21"/>
  <c r="F17" i="21" s="1"/>
  <c r="P3" i="23" s="1"/>
  <c r="D10" i="21"/>
  <c r="D17" i="21" s="1"/>
  <c r="D12" i="21"/>
  <c r="C10" i="21"/>
  <c r="C17" i="21" s="1"/>
  <c r="C12" i="21"/>
  <c r="B10" i="21"/>
  <c r="B17" i="21" s="1"/>
  <c r="P2" i="23" s="1"/>
  <c r="B12" i="21"/>
  <c r="O2" i="23" s="1"/>
  <c r="K18" i="20"/>
  <c r="K10" i="24" s="1"/>
  <c r="J18" i="20"/>
  <c r="J10" i="24" s="1"/>
  <c r="I18" i="20"/>
  <c r="D18" i="20"/>
  <c r="B18" i="20"/>
  <c r="K13" i="20"/>
  <c r="K21" i="20" s="1"/>
  <c r="J13" i="20"/>
  <c r="J9" i="24" s="1"/>
  <c r="I13" i="20"/>
  <c r="D13" i="20"/>
  <c r="D25" i="24" s="1"/>
  <c r="C13" i="20"/>
  <c r="C21" i="20" s="1"/>
  <c r="B13" i="20"/>
  <c r="B21" i="20" s="1"/>
  <c r="K13" i="19"/>
  <c r="J13" i="19"/>
  <c r="E3" i="23" s="1"/>
  <c r="I13" i="19"/>
  <c r="B13" i="19"/>
  <c r="D10" i="19"/>
  <c r="D13" i="19" s="1"/>
  <c r="E2" i="23" s="1"/>
  <c r="C10" i="19"/>
  <c r="C13" i="19"/>
  <c r="N2" i="23"/>
  <c r="K23" i="12"/>
  <c r="N3" i="23" s="1"/>
  <c r="I21" i="20"/>
  <c r="J21" i="20"/>
  <c r="P53" i="17"/>
  <c r="D53" i="17"/>
  <c r="J53" i="17"/>
  <c r="E53" i="16"/>
  <c r="R53" i="16"/>
  <c r="L53" i="16"/>
  <c r="E17" i="22" l="1"/>
  <c r="Q2" i="23" s="1"/>
  <c r="B16" i="24"/>
  <c r="B18" i="24" s="1"/>
  <c r="B14" i="24"/>
  <c r="B15" i="24" s="1"/>
  <c r="B17" i="24" s="1"/>
  <c r="C19" i="24"/>
  <c r="I25" i="24"/>
  <c r="K14" i="24"/>
  <c r="K15" i="24" s="1"/>
  <c r="K17" i="24" s="1"/>
  <c r="K3" i="23"/>
  <c r="L3" i="23"/>
  <c r="I3" i="23" s="1"/>
  <c r="G3" i="23" s="1"/>
  <c r="D14" i="24"/>
  <c r="D15" i="24" s="1"/>
  <c r="D17" i="24" s="1"/>
  <c r="D16" i="24"/>
  <c r="D18" i="24" s="1"/>
  <c r="C16" i="24"/>
  <c r="C18" i="24" s="1"/>
  <c r="I8" i="24"/>
  <c r="C9" i="24"/>
  <c r="C26" i="24" s="1"/>
  <c r="C31" i="24" s="1"/>
  <c r="G12" i="21"/>
  <c r="J14" i="24"/>
  <c r="J15" i="24" s="1"/>
  <c r="J17" i="24" s="1"/>
  <c r="J25" i="24"/>
  <c r="D21" i="20"/>
  <c r="K25" i="24"/>
  <c r="H12" i="21"/>
  <c r="K24" i="24"/>
  <c r="F12" i="21"/>
  <c r="D9" i="24"/>
  <c r="D26" i="24" s="1"/>
  <c r="C25" i="24"/>
  <c r="J26" i="24"/>
  <c r="B26" i="24"/>
  <c r="I26" i="24"/>
  <c r="K26" i="24"/>
  <c r="L2" i="23" l="1"/>
  <c r="I2" i="23" s="1"/>
  <c r="K2" i="23"/>
  <c r="B25" i="24"/>
  <c r="B31" i="24" s="1"/>
  <c r="B19" i="24"/>
  <c r="O3" i="23"/>
  <c r="I14" i="24"/>
  <c r="I15" i="24" s="1"/>
  <c r="I17" i="24" s="1"/>
  <c r="K16" i="24"/>
  <c r="K18" i="24" s="1"/>
  <c r="K19" i="24" s="1"/>
  <c r="K31" i="24" s="1"/>
  <c r="H3" i="23"/>
  <c r="D19" i="24"/>
  <c r="D31" i="24" s="1"/>
  <c r="J16" i="24"/>
  <c r="J18" i="24" s="1"/>
  <c r="J19" i="24" s="1"/>
  <c r="J31" i="24" s="1"/>
  <c r="A31" i="24" l="1"/>
  <c r="M2" i="23" s="1"/>
  <c r="I19" i="24"/>
  <c r="I31" i="24" s="1"/>
  <c r="H31" i="24" s="1"/>
  <c r="M3" i="23" s="1"/>
  <c r="I16" i="24"/>
  <c r="I18" i="24" s="1"/>
  <c r="H2" i="23"/>
  <c r="G2" i="23"/>
</calcChain>
</file>

<file path=xl/comments1.xml><?xml version="1.0" encoding="utf-8"?>
<comments xmlns="http://schemas.openxmlformats.org/spreadsheetml/2006/main">
  <authors>
    <author>notz</author>
  </authors>
  <commentList>
    <comment ref="F1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Only available for compared cropping systems that include legumes other than soybean, as a calculator to detect the actual feed value is used, that is based on soybean and wheat prices.</t>
        </r>
      </text>
    </comment>
    <comment ref="G1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Assumes a carbon tax of 150€/t CO2 on mineral fertilizer inputs.
(extreme scenario if CC mitigation strategies become more important)</t>
        </r>
      </text>
    </comment>
    <comment ref="H1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Assumes a carbon tax of 50€/t CO2 on mineral fertilizer inputs.
(more realistic scenario in the next few years )</t>
        </r>
      </text>
    </comment>
  </commentList>
</comments>
</file>

<file path=xl/sharedStrings.xml><?xml version="1.0" encoding="utf-8"?>
<sst xmlns="http://schemas.openxmlformats.org/spreadsheetml/2006/main" count="1303" uniqueCount="424">
  <si>
    <t>Soil type</t>
  </si>
  <si>
    <t>Field size</t>
  </si>
  <si>
    <t>Name of crop</t>
  </si>
  <si>
    <t>Use of crop (grain, silage, biomass,…)</t>
  </si>
  <si>
    <t>C to N ratio of SOM</t>
  </si>
  <si>
    <t>Ploughing</t>
  </si>
  <si>
    <t>Harrowing</t>
  </si>
  <si>
    <t>Seedbed preparation</t>
  </si>
  <si>
    <t>Seeds</t>
  </si>
  <si>
    <t>Specify</t>
  </si>
  <si>
    <t>Machinery used</t>
  </si>
  <si>
    <t>Fertilisation</t>
  </si>
  <si>
    <t>N-fertiliser</t>
  </si>
  <si>
    <t>P-fertiliser</t>
  </si>
  <si>
    <t>K-fertiliser</t>
  </si>
  <si>
    <t>N-P-K fertiliser</t>
  </si>
  <si>
    <t>S-fertiliser</t>
  </si>
  <si>
    <t>CaCO3</t>
  </si>
  <si>
    <t>Compost</t>
  </si>
  <si>
    <t>Manure</t>
  </si>
  <si>
    <t>Application method</t>
  </si>
  <si>
    <t>Plant protection</t>
  </si>
  <si>
    <t>Pesticide</t>
  </si>
  <si>
    <t>Total number of applications</t>
  </si>
  <si>
    <t>Herbicide</t>
  </si>
  <si>
    <t>Fungicide</t>
  </si>
  <si>
    <t>Harvest</t>
  </si>
  <si>
    <t>Harvesting</t>
  </si>
  <si>
    <t>Residue treatment</t>
  </si>
  <si>
    <t>Post-harvest treatment</t>
  </si>
  <si>
    <t>Output</t>
  </si>
  <si>
    <t>Variable costs</t>
  </si>
  <si>
    <t>Type</t>
  </si>
  <si>
    <t>Residue removed</t>
  </si>
  <si>
    <t>Yield</t>
  </si>
  <si>
    <t>Costs of seeds (Unit [EUR/ha])</t>
  </si>
  <si>
    <t>Mechani-sation</t>
  </si>
  <si>
    <t>Please describe the crop rotation.</t>
  </si>
  <si>
    <t>Crop rotation</t>
  </si>
  <si>
    <t>Notes for completing</t>
  </si>
  <si>
    <t xml:space="preserve"> Description with units</t>
  </si>
  <si>
    <t>Costs of crop protection measures (Unit [EUR/ha])</t>
  </si>
  <si>
    <t>Total variable costs of machinery (Unit [EUR/ha])</t>
  </si>
  <si>
    <t>Costs of irrigation (Unit [EUR/ha])</t>
  </si>
  <si>
    <t>Costs of insurcance (Unit [EUR/ha])</t>
  </si>
  <si>
    <t>Drying costs, cleaning costs (Unit [EUR/ha])</t>
  </si>
  <si>
    <t>Total variable costs  (Unit [EUR/ha])</t>
  </si>
  <si>
    <t>CROP 1</t>
  </si>
  <si>
    <t>CROP 2</t>
  </si>
  <si>
    <t xml:space="preserve">Organic carbon content of the top soil </t>
  </si>
  <si>
    <t xml:space="preserve">Bulk densitiy of top soil </t>
  </si>
  <si>
    <t>Topsoil</t>
  </si>
  <si>
    <t xml:space="preserve">Annual mineralisation rate </t>
  </si>
  <si>
    <t>Water holding capacity in the root zone</t>
  </si>
  <si>
    <t>Precipitation in the winter half (mm)</t>
  </si>
  <si>
    <t>Annual precipitation (mm)</t>
  </si>
  <si>
    <t>Please indicate the name of the region (e.g. Brandenburg) and the code according to the specification of the territorial statistical units of the second level (NUTS 2*) (e.g. DE40 ).</t>
  </si>
  <si>
    <t>Region</t>
  </si>
  <si>
    <t>Site</t>
  </si>
  <si>
    <t>Please indicate the local name of the site within the region e.g. name of the soil type, class…</t>
  </si>
  <si>
    <t>Please describe the typical soil type of your region (e.g. sandy loam).</t>
  </si>
  <si>
    <t xml:space="preserve">If you do not have the following information we will help you and might use default values. </t>
  </si>
  <si>
    <t>Please indicate the average AZ (e.g. 49)</t>
  </si>
  <si>
    <t xml:space="preserve">Please indicate the carbon to nitrogen ratio of the soil organic matter (e.g. 11). </t>
  </si>
  <si>
    <t>Only for Germany: Average german soil rating index</t>
  </si>
  <si>
    <t>Cover crop (following the crop above)</t>
  </si>
  <si>
    <t>Variety</t>
  </si>
  <si>
    <t>Mechanical weed management</t>
  </si>
  <si>
    <t>Total costs of fertilizer (Unit [EUR/ha])</t>
  </si>
  <si>
    <t>Subsidies (general + specific per crop (Unit [EUR/ha])</t>
  </si>
  <si>
    <t>Content of N, P, K in the fertiliser (%)</t>
  </si>
  <si>
    <t>Year</t>
  </si>
  <si>
    <t>Please indicate the years of cultivation (e.g. 2015-2018).</t>
  </si>
  <si>
    <r>
      <t>Amount [kg/ha</t>
    </r>
    <r>
      <rPr>
        <sz val="11"/>
        <color theme="1"/>
        <rFont val="Calibri"/>
        <family val="2"/>
        <scheme val="minor"/>
      </rPr>
      <t>]</t>
    </r>
  </si>
  <si>
    <t>Please indicate the average field size [ha].</t>
  </si>
  <si>
    <t>Please indicate the average C_org [% C in DM] (e.g. 0,9%)</t>
  </si>
  <si>
    <r>
      <t>Please indicate the bulk density of the top soil [g/cm³] (e.g. 1,5g/cm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).</t>
    </r>
  </si>
  <si>
    <t>Please indicate the depth of the top soil layer [cm] (e.g. 30 cm).</t>
  </si>
  <si>
    <t>Please indicate the annual mineralisation rate [%] (e.g. 1,7%).</t>
  </si>
  <si>
    <t xml:space="preserve">Please indicate the water holding capacity in the root zone [mm] (e.g. 400mm). </t>
  </si>
  <si>
    <t xml:space="preserve">Please indicate the annual precipitation [mm] (e.g. 510mm). </t>
  </si>
  <si>
    <t xml:space="preserve">Please indicate the precipitation in the winter half, from October to March [mm] (e.g.220mm). </t>
  </si>
  <si>
    <t>Price [EUR/ha]</t>
  </si>
  <si>
    <t xml:space="preserve">Amount [t/ha] </t>
  </si>
  <si>
    <t xml:space="preserve">Yield [t/ha] </t>
  </si>
  <si>
    <t>Number of year</t>
  </si>
  <si>
    <t>Crop [name of crop]:</t>
  </si>
  <si>
    <t>Organic fertilizers</t>
  </si>
  <si>
    <t>Composition</t>
  </si>
  <si>
    <t>Mineral fertilizers</t>
  </si>
  <si>
    <t>Amount [kg or l/ha]</t>
  </si>
  <si>
    <t>Total amount [kg or l/ha]</t>
  </si>
  <si>
    <t>Please specify if machinery was used for:</t>
  </si>
  <si>
    <t>Please indicate the variety, amount of seeds and machinery used.</t>
  </si>
  <si>
    <t>Please indicate the specific fertiliser types, composition, application methods, total amounts and total number of applications applied.</t>
  </si>
  <si>
    <t>Please indicate the specific plant protection measures, application methods, amounts and total number of applications.</t>
  </si>
  <si>
    <t>Please specify  the harvesting process, including residue treatemant and post-harvest treatment and name machinery used.</t>
  </si>
  <si>
    <t>Please specify the yield and residues removed, name machinery used and the average selling price of the crop.</t>
  </si>
  <si>
    <t>Crop internally used (e.g. as feed) or sold?</t>
  </si>
  <si>
    <t xml:space="preserve">Please indicate the specific costs of production, the total variable costs and subsidies. </t>
  </si>
  <si>
    <t xml:space="preserve">Serbia </t>
  </si>
  <si>
    <t>Rimski Šančevi</t>
  </si>
  <si>
    <t xml:space="preserve">Soybean </t>
  </si>
  <si>
    <t>grain</t>
  </si>
  <si>
    <t xml:space="preserve">sold </t>
  </si>
  <si>
    <t>not</t>
  </si>
  <si>
    <t>yes</t>
  </si>
  <si>
    <t>90 kg/ha</t>
  </si>
  <si>
    <t xml:space="preserve">october </t>
  </si>
  <si>
    <t xml:space="preserve">winter wheat </t>
  </si>
  <si>
    <t>EXAMPLE - Crop [name of crop]: soybean</t>
  </si>
  <si>
    <t xml:space="preserve">Crop [name of crop]: wheat </t>
  </si>
  <si>
    <t>in fall - November</t>
  </si>
  <si>
    <t>200 kg</t>
  </si>
  <si>
    <t>yes (inter row cultivation)</t>
  </si>
  <si>
    <t>two</t>
  </si>
  <si>
    <t>pre emergence</t>
  </si>
  <si>
    <t>1,4 l/ha + 0,35 l/ha</t>
  </si>
  <si>
    <t>post emergence</t>
  </si>
  <si>
    <t>1,9 l/ha + 1 l/ha</t>
  </si>
  <si>
    <t>50 kg/ha</t>
  </si>
  <si>
    <t xml:space="preserve">not available </t>
  </si>
  <si>
    <t xml:space="preserve">not </t>
  </si>
  <si>
    <t>seedbed preparation</t>
  </si>
  <si>
    <t>NS apolo (I maturity group)</t>
  </si>
  <si>
    <t>sowing machinery 6 row machine (50 cm)</t>
  </si>
  <si>
    <t xml:space="preserve">grain </t>
  </si>
  <si>
    <t>sold</t>
  </si>
  <si>
    <t>NS Ilina</t>
  </si>
  <si>
    <t>200 kg/ha</t>
  </si>
  <si>
    <t xml:space="preserve">MAP </t>
  </si>
  <si>
    <t>150 kg/ha</t>
  </si>
  <si>
    <t>46% N</t>
  </si>
  <si>
    <t xml:space="preserve">in spring </t>
  </si>
  <si>
    <t xml:space="preserve">UREA </t>
  </si>
  <si>
    <t>(N+P)</t>
  </si>
  <si>
    <t>in spring</t>
  </si>
  <si>
    <t>in spring (flowerig phase)</t>
  </si>
  <si>
    <t>0,15 l/ha</t>
  </si>
  <si>
    <t>0,6 l /ha</t>
  </si>
  <si>
    <t>6,57 t/ha</t>
  </si>
  <si>
    <t>4,1 t/ha</t>
  </si>
  <si>
    <t>5 ha</t>
  </si>
  <si>
    <t xml:space="preserve">chernozem </t>
  </si>
  <si>
    <t>30cm</t>
  </si>
  <si>
    <t>Dual gold (s-metolahlor) + Sencor (metribuxin)</t>
  </si>
  <si>
    <t xml:space="preserve">Corum (bentazon + imazamox) + Dash </t>
  </si>
  <si>
    <t>Secator (amidosulforon)</t>
  </si>
  <si>
    <t>Teatar (azoxistrobin + difenokonazol)</t>
  </si>
  <si>
    <t>947 eur/ha</t>
  </si>
  <si>
    <t>1250 eur/ha</t>
  </si>
  <si>
    <t>Corn</t>
  </si>
  <si>
    <t>150 kg</t>
  </si>
  <si>
    <t>UREA</t>
  </si>
  <si>
    <t>N 46</t>
  </si>
  <si>
    <t>Laudis (tembotrion + izioksadifen-etil)</t>
  </si>
  <si>
    <t>2 l/ha</t>
  </si>
  <si>
    <t>9,6 t/ha</t>
  </si>
  <si>
    <t>CROP 3</t>
  </si>
  <si>
    <t>seedbeed preaparation</t>
  </si>
  <si>
    <t>phase 12-18 BBCH-scale</t>
  </si>
  <si>
    <t>75 000 plants per hectare</t>
  </si>
  <si>
    <t>Equip (foramsulfuron)</t>
  </si>
  <si>
    <t>NS 3023 FAO 390</t>
  </si>
  <si>
    <t>sunflower</t>
  </si>
  <si>
    <t>NPK</t>
  </si>
  <si>
    <t>Crop [name of crop]: corn</t>
  </si>
  <si>
    <t>Crop [name of crop]: sunflower</t>
  </si>
  <si>
    <t xml:space="preserve">Simonida </t>
  </si>
  <si>
    <t>5,5 t/ha</t>
  </si>
  <si>
    <t>grain - human consumption</t>
  </si>
  <si>
    <t xml:space="preserve">NS Leviathan </t>
  </si>
  <si>
    <t>35.000-42.0000</t>
  </si>
  <si>
    <t>1,2 l/ha</t>
  </si>
  <si>
    <t>Cletox (Cletodim)</t>
  </si>
  <si>
    <t>2,7  t/ha</t>
  </si>
  <si>
    <t>NS-4051 FAO 420</t>
  </si>
  <si>
    <t>72.000 plants per hectare</t>
  </si>
  <si>
    <t xml:space="preserve">Instecticide </t>
  </si>
  <si>
    <t>Plures (Deltametrin)</t>
  </si>
  <si>
    <t xml:space="preserve">up to flowering </t>
  </si>
  <si>
    <t>2017-2019</t>
  </si>
  <si>
    <t>500-650 ml/ha</t>
  </si>
  <si>
    <t>one, DATE: april</t>
  </si>
  <si>
    <t>yes-harvester DATE: October</t>
  </si>
  <si>
    <t>7,9 t/ha</t>
  </si>
  <si>
    <t xml:space="preserve">118  eur/ton (932 eur/ha) </t>
  </si>
  <si>
    <t>Monsoon active  (foramsulfuron)</t>
  </si>
  <si>
    <t>1l/ha</t>
  </si>
  <si>
    <t xml:space="preserve">1795,2 eur/ha - 2017 was record year </t>
  </si>
  <si>
    <t xml:space="preserve">Contact person:
</t>
  </si>
  <si>
    <t xml:space="preserve">Acknowledgement to:
</t>
  </si>
  <si>
    <t>How representative are the data?</t>
  </si>
  <si>
    <t>Data representing practical farming?</t>
  </si>
  <si>
    <t>Yes</t>
  </si>
  <si>
    <t>Data coming from averages over several years?</t>
  </si>
  <si>
    <t>No</t>
  </si>
  <si>
    <t xml:space="preserve">Therefore they are a real, practically cultivated crop rotations with specific management and yield data for these fields and years. </t>
  </si>
  <si>
    <t>Data for yield stability?</t>
  </si>
  <si>
    <r>
      <t xml:space="preserve">Average yields from </t>
    </r>
    <r>
      <rPr>
        <b/>
        <sz val="11"/>
        <color rgb="FF000000"/>
        <rFont val="Calibri"/>
        <family val="2"/>
        <scheme val="minor"/>
      </rPr>
      <t xml:space="preserve">all fields </t>
    </r>
    <r>
      <rPr>
        <sz val="11"/>
        <color rgb="FF000000"/>
        <rFont val="Calibri"/>
        <family val="2"/>
        <scheme val="minor"/>
      </rPr>
      <t>for each year from the institute.</t>
    </r>
  </si>
  <si>
    <t>Average yields from this data cannot be compared with the data in the rotations!</t>
  </si>
  <si>
    <t>Can differences between the rotations be traced back to the presence of the legume alone?</t>
  </si>
  <si>
    <t>There are also differences in the management and yield of the other crops.</t>
  </si>
  <si>
    <t>Marjana Vasiljević (marjana.vasiljevic@nsseme.com)</t>
  </si>
  <si>
    <t>Marjana Vasiljević  (Institute of Field and Vegetable Crops)</t>
  </si>
  <si>
    <t>These are actual crop rotations in the fields from the production years 2017-2019 and are not representative for a longer time period.</t>
  </si>
  <si>
    <t>AN</t>
  </si>
  <si>
    <t>The data for the rotation without legumes are coming from a farmer's field near the Institute of Field and Vegetable Crops and the rotation with legumes are coming from fields of the institute.</t>
  </si>
  <si>
    <t xml:space="preserve">winter ploughing </t>
  </si>
  <si>
    <t>35%N</t>
  </si>
  <si>
    <t xml:space="preserve"> 152 eur/ton (836 eur/ha)</t>
  </si>
  <si>
    <t>299 eur/ton (807,3 eur/ha)</t>
  </si>
  <si>
    <t>"before publication, please send us on confirmation"</t>
  </si>
  <si>
    <t xml:space="preserve">yes, DATE: november </t>
  </si>
  <si>
    <t>yes, DATE: october</t>
  </si>
  <si>
    <t>yes, DATE: november/december</t>
  </si>
  <si>
    <t>yes, DATE: april</t>
  </si>
  <si>
    <t>yes, DATE: end of october</t>
  </si>
  <si>
    <t>sowing machinery  , DATE: april</t>
  </si>
  <si>
    <t>regular small grain sowing machine (12,5cm), DATE: october</t>
  </si>
  <si>
    <t>one, DATE: march</t>
  </si>
  <si>
    <t>one, DATE: november</t>
  </si>
  <si>
    <t>one, DATE: october</t>
  </si>
  <si>
    <r>
      <t>Total amount [kg or m</t>
    </r>
    <r>
      <rPr>
        <vertAlign val="super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/ha]</t>
    </r>
  </si>
  <si>
    <t>one, DATE: may</t>
  </si>
  <si>
    <t>one, DATE: may (two weeks after)</t>
  </si>
  <si>
    <t>yes (two times), DATES may/june</t>
  </si>
  <si>
    <t>two, DATES: april/may</t>
  </si>
  <si>
    <t>combine, DATE: august</t>
  </si>
  <si>
    <t>combine, DATE: july</t>
  </si>
  <si>
    <t>yes, DATE: november</t>
  </si>
  <si>
    <t xml:space="preserve">yes, DATE: april </t>
  </si>
  <si>
    <t>sowing machinery , DATE: april</t>
  </si>
  <si>
    <t>one, DATE: April before sowing</t>
  </si>
  <si>
    <t xml:space="preserve">one, DATE: november </t>
  </si>
  <si>
    <t>one, DATE: November</t>
  </si>
  <si>
    <t xml:space="preserve">one, DATE: April </t>
  </si>
  <si>
    <t>two times (split application), DATES: May</t>
  </si>
  <si>
    <t>two, DATES:</t>
  </si>
  <si>
    <t>yes - corn harvester DATE: October</t>
  </si>
  <si>
    <t>combine, DATE: june</t>
  </si>
  <si>
    <t>combine, DATE: October</t>
  </si>
  <si>
    <t>The rotations are typical in terms of crop choice and management for Serbia.</t>
  </si>
  <si>
    <t>Crop 1</t>
  </si>
  <si>
    <t>Crop 2</t>
  </si>
  <si>
    <t>Crop 3</t>
  </si>
  <si>
    <t xml:space="preserve">Without legumes: </t>
  </si>
  <si>
    <t>Sunflower</t>
  </si>
  <si>
    <t>Winter wheat</t>
  </si>
  <si>
    <t xml:space="preserve">With legumes: </t>
  </si>
  <si>
    <t>Soybean</t>
  </si>
  <si>
    <t>Content N</t>
  </si>
  <si>
    <t>NP</t>
  </si>
  <si>
    <t>Yield DM</t>
  </si>
  <si>
    <r>
      <t xml:space="preserve">HS = - </t>
    </r>
    <r>
      <rPr>
        <sz val="11"/>
        <color theme="1"/>
        <rFont val="Calibri"/>
        <family val="2"/>
      </rPr>
      <t>∑</t>
    </r>
    <r>
      <rPr>
        <sz val="11"/>
        <color theme="1"/>
        <rFont val="Calibri"/>
        <family val="2"/>
        <scheme val="minor"/>
      </rPr>
      <t>pi ln pi</t>
    </r>
  </si>
  <si>
    <r>
      <t>H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=ln S</t>
    </r>
  </si>
  <si>
    <r>
      <t>H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:</t>
    </r>
  </si>
  <si>
    <t>Crop species</t>
  </si>
  <si>
    <t>Share in crop rotation</t>
  </si>
  <si>
    <r>
      <t>p</t>
    </r>
    <r>
      <rPr>
        <vertAlign val="subscript"/>
        <sz val="11"/>
        <color theme="1"/>
        <rFont val="Calibri"/>
        <family val="2"/>
        <scheme val="minor"/>
      </rPr>
      <t>i</t>
    </r>
  </si>
  <si>
    <r>
      <t>ln p</t>
    </r>
    <r>
      <rPr>
        <vertAlign val="subscript"/>
        <sz val="11"/>
        <color theme="1"/>
        <rFont val="Calibri"/>
        <family val="2"/>
        <scheme val="minor"/>
      </rPr>
      <t>i</t>
    </r>
  </si>
  <si>
    <t>ln pi x pi</t>
  </si>
  <si>
    <t>Without legumes</t>
  </si>
  <si>
    <t>Cereal crop</t>
  </si>
  <si>
    <t>Leaf crop</t>
  </si>
  <si>
    <t>Legume</t>
  </si>
  <si>
    <t>With legumes</t>
  </si>
  <si>
    <t>Gross margin (prices feed calculator)</t>
  </si>
  <si>
    <t>GM with CO2 tax I</t>
  </si>
  <si>
    <t>GM with CO2 tax II</t>
  </si>
  <si>
    <t>NO3 leaching [kg/ha]</t>
  </si>
  <si>
    <t>N fertilizer use [kg/ha]</t>
  </si>
  <si>
    <t>Mineral fertilizer input [kg/ha]</t>
  </si>
  <si>
    <r>
      <t>N fertilizer in kg CO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e</t>
    </r>
  </si>
  <si>
    <r>
      <t>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O emissions [kg/ha]</t>
    </r>
  </si>
  <si>
    <t>Protein yield [kg/ha]</t>
  </si>
  <si>
    <t>Crop diversity</t>
  </si>
  <si>
    <t>Coefficient of variation</t>
  </si>
  <si>
    <t>N fertilizers</t>
  </si>
  <si>
    <t>Yield stability (CV)</t>
  </si>
  <si>
    <t>Crop</t>
  </si>
  <si>
    <t>Dry matter fraction of harvested product (DRY):</t>
  </si>
  <si>
    <t>Generic values for crops not indicated below</t>
  </si>
  <si>
    <t>Generic Grains</t>
  </si>
  <si>
    <t>Winter Wheat</t>
  </si>
  <si>
    <t>Spring Wheat</t>
  </si>
  <si>
    <t>Barley</t>
  </si>
  <si>
    <t>Oats</t>
  </si>
  <si>
    <t>Maize</t>
  </si>
  <si>
    <t>Rye</t>
  </si>
  <si>
    <t>Rice</t>
  </si>
  <si>
    <t>Millet</t>
  </si>
  <si>
    <t>Sorghum</t>
  </si>
  <si>
    <t>Beans and Pulses</t>
  </si>
  <si>
    <t>Soybeans</t>
  </si>
  <si>
    <t>Potatoes and Tubers</t>
  </si>
  <si>
    <t>Peanuts</t>
  </si>
  <si>
    <t>Alfafa</t>
  </si>
  <si>
    <t>Non-legume hay</t>
  </si>
  <si>
    <t>N-fixing forage</t>
  </si>
  <si>
    <t>Non-N-fixing forage</t>
  </si>
  <si>
    <t>Perennial Grasses</t>
  </si>
  <si>
    <t>Grass-Clover Mixtures</t>
  </si>
  <si>
    <t>Other</t>
  </si>
  <si>
    <t>Climate</t>
  </si>
  <si>
    <t>wet</t>
  </si>
  <si>
    <t>FracGas</t>
  </si>
  <si>
    <t>Leaching</t>
  </si>
  <si>
    <t>Residue N</t>
  </si>
  <si>
    <t>Above</t>
  </si>
  <si>
    <t>Below</t>
  </si>
  <si>
    <t>N2O above</t>
  </si>
  <si>
    <t>N2O below</t>
  </si>
  <si>
    <t>Total</t>
  </si>
  <si>
    <t>N2O-N emissions</t>
  </si>
  <si>
    <t>Fert</t>
  </si>
  <si>
    <t>Volat</t>
  </si>
  <si>
    <t>Residue</t>
  </si>
  <si>
    <t>N2O emissions</t>
  </si>
  <si>
    <t>dry</t>
  </si>
  <si>
    <t>Convert to kg N2O</t>
  </si>
  <si>
    <t>FracGasF / FracGasM</t>
  </si>
  <si>
    <t>ID for mapping</t>
  </si>
  <si>
    <t>N content above-ground residues Nag(T):</t>
  </si>
  <si>
    <t>N content below-ground residues  Nbg(T):</t>
  </si>
  <si>
    <t xml:space="preserve"> Ratio above-ground residues dry matter to harvest yield
Rag (T):</t>
  </si>
  <si>
    <t>Ratio of below ground biomass to above ground biomass RS(T):</t>
  </si>
  <si>
    <t>FracRenew</t>
  </si>
  <si>
    <t>Straw DM</t>
  </si>
  <si>
    <t>EF1 - synthetic fert</t>
  </si>
  <si>
    <t>Urea</t>
  </si>
  <si>
    <t>Value for Urea</t>
  </si>
  <si>
    <t>EF1 - organic N</t>
  </si>
  <si>
    <t>Ammonium</t>
  </si>
  <si>
    <t>Value for Ammonium based</t>
  </si>
  <si>
    <t>EF4</t>
  </si>
  <si>
    <t>Nitrate</t>
  </si>
  <si>
    <t>Value for Nitrate based</t>
  </si>
  <si>
    <t>Value for ammonium-Nitrate based</t>
  </si>
  <si>
    <t>Nutribor</t>
  </si>
  <si>
    <t>Default</t>
  </si>
  <si>
    <t>FYM</t>
  </si>
  <si>
    <t>NH4NO3</t>
  </si>
  <si>
    <t>Euroserial Duo</t>
  </si>
  <si>
    <t>Sulfano</t>
  </si>
  <si>
    <t>DAP</t>
  </si>
  <si>
    <t>Lebosol</t>
  </si>
  <si>
    <t>CAN</t>
  </si>
  <si>
    <t>Urea 120</t>
  </si>
  <si>
    <t>N8P16K20 +SO3+B</t>
  </si>
  <si>
    <t>MAP</t>
  </si>
  <si>
    <t>IPCCID</t>
  </si>
  <si>
    <t>Faba bean</t>
  </si>
  <si>
    <t>Field pea</t>
  </si>
  <si>
    <t>Spring barley</t>
  </si>
  <si>
    <t>Winter barley</t>
  </si>
  <si>
    <t>Winter oat</t>
  </si>
  <si>
    <t>Winter rape</t>
  </si>
  <si>
    <t>Soya</t>
  </si>
  <si>
    <t>Dry bean</t>
  </si>
  <si>
    <t>Forage pea</t>
  </si>
  <si>
    <t>Yield [t/ha]</t>
  </si>
  <si>
    <t>N fertilizer [kg/ha]</t>
  </si>
  <si>
    <t>N manure P [kg/ha]</t>
  </si>
  <si>
    <t>N input [kg/ha]</t>
  </si>
  <si>
    <t>N mineralization [kg/ha]</t>
  </si>
  <si>
    <t>N dfS [kg/ha]</t>
  </si>
  <si>
    <t>N surplus [kg/ha]</t>
  </si>
  <si>
    <t>N leaching [kg/ha]</t>
  </si>
  <si>
    <t>Leaching probability</t>
  </si>
  <si>
    <t>Energy output [GJ/ha]</t>
  </si>
  <si>
    <t>Yield FM [t/ha]</t>
  </si>
  <si>
    <t>DM content</t>
  </si>
  <si>
    <t>Yield DM [t/ha]</t>
  </si>
  <si>
    <t>Crude protein [% DM]</t>
  </si>
  <si>
    <t>Protein output [t/ha]</t>
  </si>
  <si>
    <t>Protein output rotations [kg/ha]</t>
  </si>
  <si>
    <t>Gross energy [GJ/t DM]</t>
  </si>
  <si>
    <t xml:space="preserve">Energy output rotations [GJ/ha] </t>
  </si>
  <si>
    <t xml:space="preserve">Rye </t>
  </si>
  <si>
    <t>Tritcale</t>
  </si>
  <si>
    <t>Wheat</t>
  </si>
  <si>
    <t>Rapeseeds</t>
  </si>
  <si>
    <t>Blue lupin</t>
  </si>
  <si>
    <t>Pea seeds</t>
  </si>
  <si>
    <t>Oat</t>
  </si>
  <si>
    <t>Maize silage</t>
  </si>
  <si>
    <t>Alfalfa</t>
  </si>
  <si>
    <t>Maize grain</t>
  </si>
  <si>
    <t>Common bean</t>
  </si>
  <si>
    <t>Pea forage</t>
  </si>
  <si>
    <t>Sugar beet roots</t>
  </si>
  <si>
    <t>Red clover</t>
  </si>
  <si>
    <t>Grass</t>
  </si>
  <si>
    <t>Barley silage</t>
  </si>
  <si>
    <t>Pea forage(60%)/barley silage (40%)</t>
  </si>
  <si>
    <t>Wheat forage</t>
  </si>
  <si>
    <t>Grass-clover</t>
  </si>
  <si>
    <t>Data source: IPCC guidelines for national greenhouse gas inventories</t>
  </si>
  <si>
    <t xml:space="preserve">Data source: </t>
  </si>
  <si>
    <t xml:space="preserve">https://www.feedipedia.org/ </t>
  </si>
  <si>
    <t>https://www.feedtables.com/</t>
  </si>
  <si>
    <t>Price [€/t]</t>
  </si>
  <si>
    <t>Revenue [€/ha]</t>
  </si>
  <si>
    <t>Straw [t/ha]</t>
  </si>
  <si>
    <t>Variable costs [€/ha]</t>
  </si>
  <si>
    <t>Gross margin [€/ha]</t>
  </si>
  <si>
    <t>Gross margin rotation [€/ha]</t>
  </si>
  <si>
    <t>Total amount [kg/ha]</t>
  </si>
  <si>
    <t xml:space="preserve">N [kg/ha]  </t>
  </si>
  <si>
    <t xml:space="preserve">Total N per crop [kg/ha]  </t>
  </si>
  <si>
    <t xml:space="preserve">Total N rotation [kg/ha]  </t>
  </si>
  <si>
    <t>Nfix [kg/ha]</t>
  </si>
  <si>
    <t>Gross margin (standard) [€/ha]</t>
  </si>
  <si>
    <t>Calculations</t>
  </si>
  <si>
    <t xml:space="preserve"> N leaching= N surplus * Leaching probability * N leach_corr</t>
  </si>
  <si>
    <t>N surplus = N input + Nminpa - N dfs</t>
  </si>
  <si>
    <t>-&gt; valid for non-legumes</t>
  </si>
  <si>
    <t>N surplus = N minfert + N manure P + Nminpa - N dfs</t>
  </si>
  <si>
    <t>-&gt; valid for legumes and non-legumes</t>
  </si>
  <si>
    <t xml:space="preserve">N dfs is the nitrogen derived from soil </t>
  </si>
  <si>
    <t>N dfs = N uptake + N fix</t>
  </si>
  <si>
    <t>-&gt; N uptake is the N accumulated by the crop and N fix is BNF of grain and forage legumes</t>
  </si>
  <si>
    <t>(N input encloses additional N from seed)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</si>
</sst>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0.0"/>
    <numFmt numFmtId="166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charset val="238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indexed="8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249977111117893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6">
    <xf numFmtId="0" fontId="0" fillId="0" borderId="0"/>
    <xf numFmtId="9" fontId="10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</cellStyleXfs>
  <cellXfs count="288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8" borderId="0" xfId="0" applyFill="1" applyAlignment="1"/>
    <xf numFmtId="0" fontId="0" fillId="0" borderId="12" xfId="0" applyBorder="1" applyAlignment="1"/>
    <xf numFmtId="0" fontId="0" fillId="0" borderId="13" xfId="0" applyBorder="1"/>
    <xf numFmtId="0" fontId="0" fillId="0" borderId="14" xfId="0" applyBorder="1" applyAlignment="1"/>
    <xf numFmtId="0" fontId="0" fillId="4" borderId="14" xfId="0" applyFill="1" applyBorder="1"/>
    <xf numFmtId="0" fontId="0" fillId="0" borderId="18" xfId="0" applyBorder="1"/>
    <xf numFmtId="0" fontId="0" fillId="6" borderId="14" xfId="0" applyFill="1" applyBorder="1"/>
    <xf numFmtId="0" fontId="0" fillId="3" borderId="14" xfId="0" applyFill="1" applyBorder="1"/>
    <xf numFmtId="0" fontId="0" fillId="0" borderId="13" xfId="0" applyBorder="1" applyAlignment="1">
      <alignment horizontal="center" textRotation="90"/>
    </xf>
    <xf numFmtId="0" fontId="0" fillId="3" borderId="14" xfId="0" applyFill="1" applyBorder="1" applyAlignment="1">
      <alignment wrapText="1"/>
    </xf>
    <xf numFmtId="0" fontId="0" fillId="0" borderId="21" xfId="0" applyBorder="1"/>
    <xf numFmtId="0" fontId="3" fillId="0" borderId="8" xfId="0" applyFont="1" applyBorder="1"/>
    <xf numFmtId="0" fontId="0" fillId="8" borderId="0" xfId="0" applyFill="1" applyBorder="1"/>
    <xf numFmtId="0" fontId="0" fillId="8" borderId="0" xfId="0" applyFill="1" applyBorder="1" applyAlignme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quotePrefix="1"/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3" fillId="10" borderId="0" xfId="0" applyFont="1" applyFill="1" applyAlignment="1"/>
    <xf numFmtId="0" fontId="0" fillId="3" borderId="16" xfId="0" applyFill="1" applyBorder="1"/>
    <xf numFmtId="0" fontId="0" fillId="0" borderId="0" xfId="0" applyBorder="1"/>
    <xf numFmtId="0" fontId="0" fillId="8" borderId="3" xfId="0" applyFill="1" applyBorder="1"/>
    <xf numFmtId="0" fontId="0" fillId="8" borderId="29" xfId="0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5" fillId="9" borderId="19" xfId="0" applyFont="1" applyFill="1" applyBorder="1"/>
    <xf numFmtId="0" fontId="5" fillId="9" borderId="14" xfId="0" applyFont="1" applyFill="1" applyBorder="1"/>
    <xf numFmtId="0" fontId="0" fillId="3" borderId="19" xfId="0" applyFill="1" applyBorder="1"/>
    <xf numFmtId="0" fontId="0" fillId="3" borderId="33" xfId="0" applyFill="1" applyBorder="1"/>
    <xf numFmtId="0" fontId="0" fillId="3" borderId="8" xfId="0" applyFill="1" applyBorder="1"/>
    <xf numFmtId="0" fontId="0" fillId="6" borderId="46" xfId="0" applyFill="1" applyBorder="1"/>
    <xf numFmtId="0" fontId="0" fillId="6" borderId="33" xfId="0" applyFill="1" applyBorder="1"/>
    <xf numFmtId="0" fontId="5" fillId="4" borderId="46" xfId="0" applyFont="1" applyFill="1" applyBorder="1"/>
    <xf numFmtId="0" fontId="0" fillId="4" borderId="33" xfId="0" applyFill="1" applyBorder="1" applyAlignment="1">
      <alignment wrapText="1"/>
    </xf>
    <xf numFmtId="0" fontId="0" fillId="0" borderId="18" xfId="0" applyBorder="1" applyAlignment="1"/>
    <xf numFmtId="0" fontId="0" fillId="9" borderId="33" xfId="0" applyFill="1" applyBorder="1"/>
    <xf numFmtId="0" fontId="0" fillId="3" borderId="46" xfId="0" applyFill="1" applyBorder="1"/>
    <xf numFmtId="0" fontId="0" fillId="4" borderId="33" xfId="0" applyFill="1" applyBorder="1"/>
    <xf numFmtId="0" fontId="0" fillId="4" borderId="19" xfId="0" applyFill="1" applyBorder="1"/>
    <xf numFmtId="0" fontId="0" fillId="4" borderId="8" xfId="0" applyFill="1" applyBorder="1"/>
    <xf numFmtId="0" fontId="0" fillId="8" borderId="10" xfId="0" applyFill="1" applyBorder="1"/>
    <xf numFmtId="0" fontId="3" fillId="8" borderId="51" xfId="0" applyFont="1" applyFill="1" applyBorder="1" applyAlignment="1"/>
    <xf numFmtId="0" fontId="5" fillId="9" borderId="53" xfId="0" applyFont="1" applyFill="1" applyBorder="1"/>
    <xf numFmtId="0" fontId="6" fillId="0" borderId="0" xfId="0" applyFont="1" applyAlignment="1">
      <alignment wrapText="1"/>
    </xf>
    <xf numFmtId="0" fontId="3" fillId="0" borderId="0" xfId="0" applyFont="1" applyAlignment="1"/>
    <xf numFmtId="0" fontId="0" fillId="0" borderId="0" xfId="0" applyAlignment="1"/>
    <xf numFmtId="0" fontId="7" fillId="0" borderId="0" xfId="0" applyFont="1"/>
    <xf numFmtId="0" fontId="5" fillId="3" borderId="4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0" borderId="0" xfId="0" applyFont="1"/>
    <xf numFmtId="0" fontId="5" fillId="3" borderId="37" xfId="0" applyFont="1" applyFill="1" applyBorder="1" applyAlignment="1">
      <alignment horizontal="center"/>
    </xf>
    <xf numFmtId="0" fontId="5" fillId="3" borderId="39" xfId="0" applyFont="1" applyFill="1" applyBorder="1" applyAlignment="1"/>
    <xf numFmtId="0" fontId="5" fillId="3" borderId="39" xfId="0" applyFont="1" applyFill="1" applyBorder="1" applyAlignment="1">
      <alignment horizontal="center"/>
    </xf>
    <xf numFmtId="0" fontId="5" fillId="3" borderId="44" xfId="0" applyFont="1" applyFill="1" applyBorder="1" applyAlignment="1">
      <alignment horizontal="center"/>
    </xf>
    <xf numFmtId="9" fontId="5" fillId="3" borderId="5" xfId="0" applyNumberFormat="1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21" fontId="5" fillId="3" borderId="5" xfId="0" applyNumberFormat="1" applyFont="1" applyFill="1" applyBorder="1" applyAlignment="1">
      <alignment horizontal="center"/>
    </xf>
    <xf numFmtId="0" fontId="5" fillId="3" borderId="43" xfId="0" applyFont="1" applyFill="1" applyBorder="1" applyAlignment="1">
      <alignment horizontal="center"/>
    </xf>
    <xf numFmtId="0" fontId="5" fillId="3" borderId="45" xfId="0" applyFont="1" applyFill="1" applyBorder="1" applyAlignment="1">
      <alignment horizontal="center"/>
    </xf>
    <xf numFmtId="20" fontId="5" fillId="3" borderId="27" xfId="0" applyNumberFormat="1" applyFont="1" applyFill="1" applyBorder="1" applyAlignment="1">
      <alignment horizontal="center"/>
    </xf>
    <xf numFmtId="0" fontId="5" fillId="3" borderId="27" xfId="0" applyFont="1" applyFill="1" applyBorder="1" applyAlignment="1">
      <alignment horizontal="center"/>
    </xf>
    <xf numFmtId="0" fontId="5" fillId="3" borderId="38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4" borderId="38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34" xfId="0" applyFont="1" applyFill="1" applyBorder="1" applyAlignment="1">
      <alignment horizontal="center"/>
    </xf>
    <xf numFmtId="0" fontId="5" fillId="8" borderId="0" xfId="0" applyFont="1" applyFill="1" applyBorder="1" applyAlignment="1"/>
    <xf numFmtId="0" fontId="5" fillId="8" borderId="1" xfId="0" applyFont="1" applyFill="1" applyBorder="1" applyAlignment="1"/>
    <xf numFmtId="0" fontId="5" fillId="8" borderId="0" xfId="0" applyFont="1" applyFill="1" applyBorder="1"/>
    <xf numFmtId="21" fontId="5" fillId="3" borderId="1" xfId="0" applyNumberFormat="1" applyFont="1" applyFill="1" applyBorder="1" applyAlignment="1">
      <alignment horizontal="center"/>
    </xf>
    <xf numFmtId="0" fontId="5" fillId="8" borderId="3" xfId="0" applyFont="1" applyFill="1" applyBorder="1"/>
    <xf numFmtId="0" fontId="5" fillId="8" borderId="10" xfId="0" applyFont="1" applyFill="1" applyBorder="1"/>
    <xf numFmtId="0" fontId="5" fillId="11" borderId="29" xfId="0" applyFont="1" applyFill="1" applyBorder="1"/>
    <xf numFmtId="9" fontId="0" fillId="0" borderId="0" xfId="1" applyFont="1"/>
    <xf numFmtId="9" fontId="0" fillId="0" borderId="0" xfId="0" applyNumberFormat="1"/>
    <xf numFmtId="10" fontId="0" fillId="0" borderId="0" xfId="0" applyNumberFormat="1"/>
    <xf numFmtId="0" fontId="12" fillId="0" borderId="0" xfId="3" applyFont="1" applyFill="1" applyBorder="1" applyAlignment="1">
      <alignment wrapText="1"/>
    </xf>
    <xf numFmtId="0" fontId="12" fillId="0" borderId="0" xfId="2" applyFont="1" applyFill="1" applyBorder="1" applyAlignment="1">
      <alignment wrapText="1"/>
    </xf>
    <xf numFmtId="0" fontId="12" fillId="0" borderId="0" xfId="2" applyFont="1" applyFill="1" applyBorder="1" applyAlignment="1"/>
    <xf numFmtId="0" fontId="12" fillId="0" borderId="3" xfId="4" applyFont="1" applyFill="1" applyBorder="1" applyAlignment="1">
      <alignment horizontal="right" wrapText="1"/>
    </xf>
    <xf numFmtId="2" fontId="0" fillId="0" borderId="0" xfId="0" applyNumberFormat="1"/>
    <xf numFmtId="1" fontId="0" fillId="0" borderId="0" xfId="0" applyNumberFormat="1"/>
    <xf numFmtId="0" fontId="0" fillId="0" borderId="60" xfId="0" applyBorder="1"/>
    <xf numFmtId="0" fontId="3" fillId="0" borderId="60" xfId="0" applyFont="1" applyBorder="1"/>
    <xf numFmtId="0" fontId="3" fillId="0" borderId="0" xfId="0" applyFont="1" applyBorder="1"/>
    <xf numFmtId="0" fontId="3" fillId="0" borderId="6" xfId="0" applyFont="1" applyBorder="1"/>
    <xf numFmtId="0" fontId="0" fillId="0" borderId="7" xfId="0" applyBorder="1"/>
    <xf numFmtId="0" fontId="0" fillId="12" borderId="0" xfId="0" applyFill="1"/>
    <xf numFmtId="0" fontId="0" fillId="0" borderId="0" xfId="0" applyFill="1" applyBorder="1"/>
    <xf numFmtId="0" fontId="0" fillId="0" borderId="29" xfId="0" applyFill="1" applyBorder="1" applyAlignment="1">
      <alignment horizontal="center" vertical="center" wrapText="1"/>
    </xf>
    <xf numFmtId="0" fontId="0" fillId="0" borderId="61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 wrapText="1"/>
    </xf>
    <xf numFmtId="164" fontId="0" fillId="0" borderId="61" xfId="0" applyNumberFormat="1" applyFill="1" applyBorder="1" applyAlignment="1">
      <alignment horizontal="center" vertical="center" wrapText="1"/>
    </xf>
    <xf numFmtId="0" fontId="0" fillId="13" borderId="0" xfId="0" applyFill="1"/>
    <xf numFmtId="0" fontId="16" fillId="0" borderId="0" xfId="0" applyFont="1" applyBorder="1"/>
    <xf numFmtId="0" fontId="3" fillId="0" borderId="0" xfId="0" applyFont="1" applyFill="1" applyBorder="1"/>
    <xf numFmtId="0" fontId="12" fillId="0" borderId="62" xfId="4" applyFont="1" applyFill="1" applyBorder="1" applyAlignment="1">
      <alignment horizontal="right" wrapText="1"/>
    </xf>
    <xf numFmtId="0" fontId="12" fillId="0" borderId="63" xfId="2" applyFont="1" applyFill="1" applyBorder="1" applyAlignment="1">
      <alignment wrapText="1"/>
    </xf>
    <xf numFmtId="0" fontId="12" fillId="0" borderId="63" xfId="3" applyFont="1" applyFill="1" applyBorder="1" applyAlignment="1">
      <alignment wrapText="1"/>
    </xf>
    <xf numFmtId="0" fontId="3" fillId="14" borderId="0" xfId="0" applyFont="1" applyFill="1"/>
    <xf numFmtId="165" fontId="0" fillId="0" borderId="0" xfId="0" applyNumberFormat="1"/>
    <xf numFmtId="166" fontId="0" fillId="0" borderId="0" xfId="0" applyNumberFormat="1"/>
    <xf numFmtId="165" fontId="0" fillId="0" borderId="0" xfId="0" applyNumberFormat="1" applyFill="1" applyBorder="1"/>
    <xf numFmtId="0" fontId="0" fillId="9" borderId="0" xfId="0" applyFill="1"/>
    <xf numFmtId="2" fontId="17" fillId="0" borderId="64" xfId="0" applyNumberFormat="1" applyFont="1" applyFill="1" applyBorder="1" applyAlignment="1" applyProtection="1">
      <alignment horizontal="right" vertical="center" wrapText="1"/>
    </xf>
    <xf numFmtId="1" fontId="17" fillId="0" borderId="64" xfId="0" applyNumberFormat="1" applyFont="1" applyFill="1" applyBorder="1" applyAlignment="1" applyProtection="1">
      <alignment horizontal="right" vertical="center" wrapText="1"/>
    </xf>
    <xf numFmtId="1" fontId="17" fillId="0" borderId="65" xfId="0" applyNumberFormat="1" applyFont="1" applyFill="1" applyBorder="1" applyAlignment="1" applyProtection="1">
      <alignment horizontal="right" vertical="center" wrapText="1"/>
    </xf>
    <xf numFmtId="1" fontId="17" fillId="0" borderId="0" xfId="0" applyNumberFormat="1" applyFont="1" applyFill="1" applyBorder="1" applyAlignment="1" applyProtection="1">
      <alignment horizontal="right" vertical="center" wrapText="1"/>
    </xf>
    <xf numFmtId="0" fontId="12" fillId="0" borderId="62" xfId="4" applyFont="1" applyFill="1" applyBorder="1" applyAlignment="1">
      <alignment horizontal="left" wrapText="1"/>
    </xf>
    <xf numFmtId="2" fontId="12" fillId="0" borderId="66" xfId="5" applyNumberFormat="1" applyFont="1" applyFill="1" applyBorder="1" applyAlignment="1">
      <alignment horizontal="right" wrapText="1"/>
    </xf>
    <xf numFmtId="2" fontId="12" fillId="0" borderId="67" xfId="5" applyNumberFormat="1" applyFont="1" applyFill="1" applyBorder="1" applyAlignment="1">
      <alignment horizontal="right" wrapText="1"/>
    </xf>
    <xf numFmtId="0" fontId="0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 wrapText="1"/>
    </xf>
    <xf numFmtId="0" fontId="5" fillId="3" borderId="4" xfId="0" quotePrefix="1" applyFont="1" applyFill="1" applyBorder="1" applyAlignment="1">
      <alignment horizontal="center"/>
    </xf>
    <xf numFmtId="0" fontId="5" fillId="3" borderId="1" xfId="0" quotePrefix="1" applyFont="1" applyFill="1" applyBorder="1" applyAlignment="1">
      <alignment horizontal="center"/>
    </xf>
    <xf numFmtId="0" fontId="5" fillId="3" borderId="2" xfId="0" quotePrefix="1" applyFont="1" applyFill="1" applyBorder="1" applyAlignment="1">
      <alignment horizontal="center"/>
    </xf>
    <xf numFmtId="0" fontId="5" fillId="3" borderId="3" xfId="0" quotePrefix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50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3" fillId="7" borderId="25" xfId="0" applyFont="1" applyFill="1" applyBorder="1" applyAlignment="1">
      <alignment horizontal="center" textRotation="90"/>
    </xf>
    <xf numFmtId="0" fontId="3" fillId="7" borderId="13" xfId="0" applyFont="1" applyFill="1" applyBorder="1" applyAlignment="1">
      <alignment horizontal="center" textRotation="90"/>
    </xf>
    <xf numFmtId="0" fontId="3" fillId="7" borderId="23" xfId="0" applyFont="1" applyFill="1" applyBorder="1" applyAlignment="1">
      <alignment horizontal="center" textRotation="90"/>
    </xf>
    <xf numFmtId="0" fontId="0" fillId="3" borderId="25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5" fillId="3" borderId="47" xfId="0" applyFont="1" applyFill="1" applyBorder="1" applyAlignment="1">
      <alignment horizontal="center"/>
    </xf>
    <xf numFmtId="0" fontId="5" fillId="3" borderId="42" xfId="0" applyFont="1" applyFill="1" applyBorder="1" applyAlignment="1">
      <alignment horizontal="center"/>
    </xf>
    <xf numFmtId="0" fontId="5" fillId="3" borderId="56" xfId="0" applyFont="1" applyFill="1" applyBorder="1" applyAlignment="1">
      <alignment horizontal="center"/>
    </xf>
    <xf numFmtId="0" fontId="5" fillId="3" borderId="55" xfId="0" applyFont="1" applyFill="1" applyBorder="1" applyAlignment="1">
      <alignment horizontal="center"/>
    </xf>
    <xf numFmtId="0" fontId="0" fillId="3" borderId="16" xfId="0" applyFill="1" applyBorder="1" applyAlignment="1">
      <alignment horizontal="left" wrapText="1"/>
    </xf>
    <xf numFmtId="0" fontId="0" fillId="3" borderId="49" xfId="0" applyFill="1" applyBorder="1" applyAlignment="1">
      <alignment horizontal="left" wrapText="1"/>
    </xf>
    <xf numFmtId="0" fontId="5" fillId="3" borderId="34" xfId="0" quotePrefix="1" applyFont="1" applyFill="1" applyBorder="1" applyAlignment="1">
      <alignment horizontal="center"/>
    </xf>
    <xf numFmtId="0" fontId="5" fillId="3" borderId="35" xfId="0" quotePrefix="1" applyFont="1" applyFill="1" applyBorder="1" applyAlignment="1">
      <alignment horizontal="center"/>
    </xf>
    <xf numFmtId="0" fontId="5" fillId="3" borderId="28" xfId="0" quotePrefix="1" applyFont="1" applyFill="1" applyBorder="1" applyAlignment="1">
      <alignment horizontal="center"/>
    </xf>
    <xf numFmtId="0" fontId="5" fillId="3" borderId="57" xfId="0" quotePrefix="1" applyFont="1" applyFill="1" applyBorder="1" applyAlignment="1">
      <alignment horizontal="center"/>
    </xf>
    <xf numFmtId="0" fontId="5" fillId="3" borderId="26" xfId="0" quotePrefix="1" applyFont="1" applyFill="1" applyBorder="1" applyAlignment="1">
      <alignment horizontal="center"/>
    </xf>
    <xf numFmtId="0" fontId="5" fillId="3" borderId="58" xfId="0" quotePrefix="1" applyFont="1" applyFill="1" applyBorder="1" applyAlignment="1">
      <alignment horizontal="center"/>
    </xf>
    <xf numFmtId="0" fontId="5" fillId="3" borderId="10" xfId="0" quotePrefix="1" applyFont="1" applyFill="1" applyBorder="1" applyAlignment="1">
      <alignment horizontal="center"/>
    </xf>
    <xf numFmtId="0" fontId="5" fillId="3" borderId="59" xfId="0" quotePrefix="1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 textRotation="90" wrapText="1"/>
    </xf>
    <xf numFmtId="0" fontId="3" fillId="2" borderId="17" xfId="0" applyFont="1" applyFill="1" applyBorder="1" applyAlignment="1">
      <alignment horizontal="center" textRotation="90" wrapText="1"/>
    </xf>
    <xf numFmtId="0" fontId="0" fillId="4" borderId="16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5" fillId="4" borderId="40" xfId="0" applyFont="1" applyFill="1" applyBorder="1" applyAlignment="1">
      <alignment horizontal="center"/>
    </xf>
    <xf numFmtId="0" fontId="5" fillId="4" borderId="38" xfId="0" applyFont="1" applyFill="1" applyBorder="1" applyAlignment="1">
      <alignment horizontal="center"/>
    </xf>
    <xf numFmtId="0" fontId="5" fillId="4" borderId="39" xfId="0" applyFont="1" applyFill="1" applyBorder="1" applyAlignment="1">
      <alignment horizontal="center"/>
    </xf>
    <xf numFmtId="0" fontId="5" fillId="4" borderId="36" xfId="0" quotePrefix="1" applyFont="1" applyFill="1" applyBorder="1" applyAlignment="1">
      <alignment horizontal="center"/>
    </xf>
    <xf numFmtId="0" fontId="5" fillId="4" borderId="34" xfId="0" applyFont="1" applyFill="1" applyBorder="1" applyAlignment="1">
      <alignment horizontal="center"/>
    </xf>
    <xf numFmtId="0" fontId="5" fillId="4" borderId="35" xfId="0" applyFont="1" applyFill="1" applyBorder="1" applyAlignment="1">
      <alignment horizontal="center"/>
    </xf>
    <xf numFmtId="0" fontId="5" fillId="4" borderId="34" xfId="0" quotePrefix="1" applyFont="1" applyFill="1" applyBorder="1" applyAlignment="1">
      <alignment horizontal="center"/>
    </xf>
    <xf numFmtId="0" fontId="5" fillId="4" borderId="36" xfId="0" applyFont="1" applyFill="1" applyBorder="1" applyAlignment="1">
      <alignment horizontal="center"/>
    </xf>
    <xf numFmtId="0" fontId="5" fillId="4" borderId="48" xfId="0" applyFont="1" applyFill="1" applyBorder="1" applyAlignment="1">
      <alignment horizontal="center"/>
    </xf>
    <xf numFmtId="0" fontId="5" fillId="4" borderId="20" xfId="0" applyFont="1" applyFill="1" applyBorder="1" applyAlignment="1">
      <alignment horizontal="center"/>
    </xf>
    <xf numFmtId="16" fontId="5" fillId="4" borderId="32" xfId="0" applyNumberFormat="1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32" xfId="0" applyFont="1" applyFill="1" applyBorder="1" applyAlignment="1">
      <alignment horizontal="center"/>
    </xf>
    <xf numFmtId="3" fontId="5" fillId="4" borderId="5" xfId="0" applyNumberFormat="1" applyFont="1" applyFill="1" applyBorder="1" applyAlignment="1">
      <alignment horizontal="center"/>
    </xf>
    <xf numFmtId="0" fontId="5" fillId="4" borderId="56" xfId="0" applyFont="1" applyFill="1" applyBorder="1" applyAlignment="1">
      <alignment horizontal="center"/>
    </xf>
    <xf numFmtId="0" fontId="5" fillId="4" borderId="47" xfId="0" applyFont="1" applyFill="1" applyBorder="1" applyAlignment="1">
      <alignment horizontal="center"/>
    </xf>
    <xf numFmtId="3" fontId="5" fillId="4" borderId="56" xfId="0" applyNumberFormat="1" applyFont="1" applyFill="1" applyBorder="1" applyAlignment="1">
      <alignment horizontal="center"/>
    </xf>
    <xf numFmtId="3" fontId="5" fillId="4" borderId="55" xfId="0" applyNumberFormat="1" applyFont="1" applyFill="1" applyBorder="1" applyAlignment="1">
      <alignment horizontal="center"/>
    </xf>
    <xf numFmtId="3" fontId="5" fillId="4" borderId="47" xfId="0" applyNumberFormat="1" applyFont="1" applyFill="1" applyBorder="1" applyAlignment="1">
      <alignment horizontal="center"/>
    </xf>
    <xf numFmtId="0" fontId="5" fillId="6" borderId="48" xfId="0" applyFont="1" applyFill="1" applyBorder="1" applyAlignment="1">
      <alignment horizontal="center"/>
    </xf>
    <xf numFmtId="0" fontId="5" fillId="6" borderId="34" xfId="0" applyFont="1" applyFill="1" applyBorder="1" applyAlignment="1">
      <alignment horizontal="center"/>
    </xf>
    <xf numFmtId="0" fontId="5" fillId="6" borderId="35" xfId="0" applyFont="1" applyFill="1" applyBorder="1" applyAlignment="1">
      <alignment horizontal="center"/>
    </xf>
    <xf numFmtId="0" fontId="5" fillId="6" borderId="36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 textRotation="90"/>
    </xf>
    <xf numFmtId="0" fontId="0" fillId="6" borderId="16" xfId="0" applyFill="1" applyBorder="1" applyAlignment="1">
      <alignment horizontal="center" wrapText="1"/>
    </xf>
    <xf numFmtId="0" fontId="0" fillId="6" borderId="18" xfId="0" applyFill="1" applyBorder="1" applyAlignment="1">
      <alignment horizontal="center" wrapText="1"/>
    </xf>
    <xf numFmtId="0" fontId="0" fillId="6" borderId="19" xfId="0" applyFill="1" applyBorder="1" applyAlignment="1">
      <alignment horizontal="center" wrapText="1"/>
    </xf>
    <xf numFmtId="0" fontId="5" fillId="6" borderId="20" xfId="0" applyFont="1" applyFill="1" applyBorder="1" applyAlignment="1">
      <alignment horizontal="center"/>
    </xf>
    <xf numFmtId="0" fontId="5" fillId="6" borderId="38" xfId="0" applyFont="1" applyFill="1" applyBorder="1" applyAlignment="1">
      <alignment horizontal="center"/>
    </xf>
    <xf numFmtId="0" fontId="5" fillId="6" borderId="39" xfId="0" applyFont="1" applyFill="1" applyBorder="1" applyAlignment="1">
      <alignment horizontal="center"/>
    </xf>
    <xf numFmtId="0" fontId="5" fillId="6" borderId="40" xfId="0" applyFont="1" applyFill="1" applyBorder="1" applyAlignment="1">
      <alignment horizontal="center"/>
    </xf>
    <xf numFmtId="0" fontId="5" fillId="3" borderId="50" xfId="0" applyFont="1" applyFill="1" applyBorder="1" applyAlignment="1">
      <alignment horizontal="center"/>
    </xf>
    <xf numFmtId="0" fontId="5" fillId="3" borderId="20" xfId="0" applyFont="1" applyFill="1" applyBorder="1" applyAlignment="1">
      <alignment horizontal="center"/>
    </xf>
    <xf numFmtId="0" fontId="5" fillId="3" borderId="38" xfId="0" applyFont="1" applyFill="1" applyBorder="1" applyAlignment="1">
      <alignment horizontal="center"/>
    </xf>
    <xf numFmtId="0" fontId="5" fillId="3" borderId="39" xfId="0" applyFont="1" applyFill="1" applyBorder="1" applyAlignment="1">
      <alignment horizontal="center"/>
    </xf>
    <xf numFmtId="0" fontId="5" fillId="3" borderId="40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56" xfId="0" applyFont="1" applyFill="1" applyBorder="1" applyAlignment="1">
      <alignment horizontal="center"/>
    </xf>
    <xf numFmtId="0" fontId="5" fillId="6" borderId="55" xfId="0" applyFont="1" applyFill="1" applyBorder="1" applyAlignment="1">
      <alignment horizontal="center"/>
    </xf>
    <xf numFmtId="0" fontId="5" fillId="6" borderId="47" xfId="0" applyFont="1" applyFill="1" applyBorder="1" applyAlignment="1">
      <alignment horizontal="center"/>
    </xf>
    <xf numFmtId="0" fontId="5" fillId="3" borderId="3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36" xfId="0" applyFont="1" applyFill="1" applyBorder="1" applyAlignment="1">
      <alignment horizontal="center"/>
    </xf>
    <xf numFmtId="0" fontId="5" fillId="3" borderId="34" xfId="0" applyFont="1" applyFill="1" applyBorder="1" applyAlignment="1">
      <alignment horizontal="center"/>
    </xf>
    <xf numFmtId="0" fontId="5" fillId="3" borderId="40" xfId="0" applyFont="1" applyFill="1" applyBorder="1" applyAlignment="1">
      <alignment horizontal="center" wrapText="1"/>
    </xf>
    <xf numFmtId="0" fontId="5" fillId="3" borderId="38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/>
    </xf>
    <xf numFmtId="0" fontId="5" fillId="3" borderId="56" xfId="0" applyFont="1" applyFill="1" applyBorder="1" applyAlignment="1">
      <alignment horizontal="center" wrapText="1"/>
    </xf>
    <xf numFmtId="0" fontId="5" fillId="3" borderId="47" xfId="0" applyFont="1" applyFill="1" applyBorder="1" applyAlignment="1">
      <alignment horizontal="center" wrapText="1"/>
    </xf>
    <xf numFmtId="0" fontId="5" fillId="3" borderId="39" xfId="0" applyFont="1" applyFill="1" applyBorder="1" applyAlignment="1">
      <alignment horizontal="center" wrapText="1"/>
    </xf>
    <xf numFmtId="0" fontId="5" fillId="3" borderId="12" xfId="0" applyFont="1" applyFill="1" applyBorder="1" applyAlignment="1">
      <alignment horizontal="center"/>
    </xf>
    <xf numFmtId="0" fontId="5" fillId="0" borderId="52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5" fillId="3" borderId="28" xfId="0" applyFont="1" applyFill="1" applyBorder="1" applyAlignment="1">
      <alignment horizontal="center"/>
    </xf>
    <xf numFmtId="0" fontId="5" fillId="3" borderId="26" xfId="0" applyFont="1" applyFill="1" applyBorder="1" applyAlignment="1">
      <alignment horizontal="center"/>
    </xf>
    <xf numFmtId="0" fontId="5" fillId="6" borderId="52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textRotation="90"/>
    </xf>
    <xf numFmtId="0" fontId="3" fillId="7" borderId="17" xfId="0" applyFont="1" applyFill="1" applyBorder="1" applyAlignment="1">
      <alignment horizontal="center" textRotation="90"/>
    </xf>
    <xf numFmtId="0" fontId="3" fillId="7" borderId="9" xfId="0" applyFont="1" applyFill="1" applyBorder="1" applyAlignment="1">
      <alignment horizontal="center" textRotation="90"/>
    </xf>
    <xf numFmtId="0" fontId="3" fillId="5" borderId="15" xfId="0" applyFont="1" applyFill="1" applyBorder="1" applyAlignment="1">
      <alignment horizontal="center" textRotation="90"/>
    </xf>
    <xf numFmtId="0" fontId="3" fillId="5" borderId="17" xfId="0" applyFont="1" applyFill="1" applyBorder="1" applyAlignment="1">
      <alignment horizontal="center" textRotation="90"/>
    </xf>
    <xf numFmtId="0" fontId="3" fillId="5" borderId="9" xfId="0" applyFont="1" applyFill="1" applyBorder="1" applyAlignment="1">
      <alignment horizontal="center" textRotation="90"/>
    </xf>
    <xf numFmtId="0" fontId="0" fillId="6" borderId="16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5" fillId="6" borderId="41" xfId="0" applyFont="1" applyFill="1" applyBorder="1" applyAlignment="1">
      <alignment horizontal="center"/>
    </xf>
    <xf numFmtId="0" fontId="5" fillId="6" borderId="42" xfId="0" applyFont="1" applyFill="1" applyBorder="1" applyAlignment="1">
      <alignment horizontal="center"/>
    </xf>
    <xf numFmtId="0" fontId="5" fillId="6" borderId="54" xfId="0" applyFont="1" applyFill="1" applyBorder="1" applyAlignment="1">
      <alignment horizontal="center"/>
    </xf>
    <xf numFmtId="0" fontId="5" fillId="6" borderId="43" xfId="0" applyFont="1" applyFill="1" applyBorder="1" applyAlignment="1">
      <alignment horizontal="center"/>
    </xf>
    <xf numFmtId="0" fontId="5" fillId="6" borderId="53" xfId="0" applyFont="1" applyFill="1" applyBorder="1" applyAlignment="1">
      <alignment horizontal="center"/>
    </xf>
    <xf numFmtId="0" fontId="5" fillId="6" borderId="31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 textRotation="90" wrapText="1"/>
    </xf>
    <xf numFmtId="0" fontId="0" fillId="4" borderId="3" xfId="0" applyFill="1" applyBorder="1" applyAlignment="1">
      <alignment horizontal="center" vertical="center" wrapText="1"/>
    </xf>
    <xf numFmtId="0" fontId="5" fillId="4" borderId="41" xfId="0" applyFont="1" applyFill="1" applyBorder="1" applyAlignment="1">
      <alignment horizontal="center"/>
    </xf>
    <xf numFmtId="0" fontId="5" fillId="4" borderId="42" xfId="0" applyFont="1" applyFill="1" applyBorder="1" applyAlignment="1">
      <alignment horizontal="center"/>
    </xf>
    <xf numFmtId="0" fontId="5" fillId="9" borderId="53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9" borderId="52" xfId="0" applyFont="1" applyFill="1" applyBorder="1" applyAlignment="1">
      <alignment horizontal="center" vertical="center"/>
    </xf>
    <xf numFmtId="0" fontId="5" fillId="9" borderId="48" xfId="0" applyFont="1" applyFill="1" applyBorder="1" applyAlignment="1">
      <alignment horizontal="center" vertical="center"/>
    </xf>
    <xf numFmtId="0" fontId="5" fillId="9" borderId="34" xfId="0" applyFont="1" applyFill="1" applyBorder="1" applyAlignment="1">
      <alignment horizontal="center" vertical="center"/>
    </xf>
    <xf numFmtId="0" fontId="3" fillId="0" borderId="41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7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9" borderId="22" xfId="0" applyFont="1" applyFill="1" applyBorder="1" applyAlignment="1">
      <alignment horizontal="center" vertical="center" wrapText="1"/>
    </xf>
    <xf numFmtId="0" fontId="3" fillId="9" borderId="13" xfId="0" applyFont="1" applyFill="1" applyBorder="1" applyAlignment="1">
      <alignment horizontal="center" vertical="center" wrapText="1"/>
    </xf>
    <xf numFmtId="0" fontId="3" fillId="9" borderId="23" xfId="0" applyFont="1" applyFill="1" applyBorder="1" applyAlignment="1">
      <alignment horizontal="center" vertical="center" wrapText="1"/>
    </xf>
    <xf numFmtId="0" fontId="0" fillId="9" borderId="24" xfId="0" applyFill="1" applyBorder="1" applyAlignment="1">
      <alignment horizontal="center" vertical="center" wrapText="1"/>
    </xf>
    <xf numFmtId="0" fontId="0" fillId="9" borderId="18" xfId="0" applyFill="1" applyBorder="1" applyAlignment="1">
      <alignment horizontal="center" vertical="center" wrapText="1"/>
    </xf>
    <xf numFmtId="0" fontId="0" fillId="9" borderId="19" xfId="0" applyFill="1" applyBorder="1" applyAlignment="1">
      <alignment horizontal="center" vertical="center" wrapText="1"/>
    </xf>
    <xf numFmtId="0" fontId="5" fillId="9" borderId="41" xfId="0" applyFont="1" applyFill="1" applyBorder="1" applyAlignment="1">
      <alignment horizontal="center"/>
    </xf>
    <xf numFmtId="0" fontId="5" fillId="9" borderId="42" xfId="0" applyFont="1" applyFill="1" applyBorder="1" applyAlignment="1">
      <alignment horizontal="center"/>
    </xf>
    <xf numFmtId="0" fontId="5" fillId="9" borderId="54" xfId="0" applyFont="1" applyFill="1" applyBorder="1" applyAlignment="1">
      <alignment horizontal="center"/>
    </xf>
    <xf numFmtId="0" fontId="5" fillId="9" borderId="55" xfId="0" applyFont="1" applyFill="1" applyBorder="1" applyAlignment="1">
      <alignment horizontal="center"/>
    </xf>
    <xf numFmtId="0" fontId="5" fillId="9" borderId="47" xfId="0" applyFont="1" applyFill="1" applyBorder="1" applyAlignment="1">
      <alignment horizontal="center"/>
    </xf>
    <xf numFmtId="0" fontId="5" fillId="9" borderId="43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</cellXfs>
  <cellStyles count="6">
    <cellStyle name="Prozent" xfId="1" builtinId="5"/>
    <cellStyle name="Standard" xfId="0" builtinId="0"/>
    <cellStyle name="Standard_arable-legume" xfId="4"/>
    <cellStyle name="Standard_Input data crop_1" xfId="5"/>
    <cellStyle name="Standard_Tabelle1" xfId="2"/>
    <cellStyle name="Standard_Tabelle1_1" xfId="3"/>
  </cellStyles>
  <dxfs count="0"/>
  <tableStyles count="0" defaultTableStyle="TableStyleMedium2" defaultPivotStyle="PivotStyleLight16"/>
  <colors>
    <mruColors>
      <color rgb="FFCC99FF"/>
      <color rgb="FFCC9900"/>
      <color rgb="FF996600"/>
      <color rgb="FFCCCCFF"/>
      <color rgb="FF9933FF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0</xdr:rowOff>
    </xdr:from>
    <xdr:to>
      <xdr:col>9</xdr:col>
      <xdr:colOff>656167</xdr:colOff>
      <xdr:row>2</xdr:row>
      <xdr:rowOff>152400</xdr:rowOff>
    </xdr:to>
    <xdr:sp macro="" textlink="">
      <xdr:nvSpPr>
        <xdr:cNvPr id="2" name="Textfeld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" y="0"/>
          <a:ext cx="11535832" cy="5334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 first we want to ask you for the site characteristics of your region. If you have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information for more then one region or for different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sites within your region e.g. different soil types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we kindly ask you to copy the whole excel file and fill in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information for each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site or region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using one excel file per site or region.</a:t>
          </a:r>
          <a:endParaRPr lang="de-DE">
            <a:effectLst/>
          </a:endParaRPr>
        </a:p>
      </xdr:txBody>
    </xdr:sp>
    <xdr:clientData/>
  </xdr:twoCellAnchor>
  <xdr:twoCellAnchor>
    <xdr:from>
      <xdr:col>5</xdr:col>
      <xdr:colOff>133350</xdr:colOff>
      <xdr:row>3</xdr:row>
      <xdr:rowOff>114300</xdr:rowOff>
    </xdr:from>
    <xdr:to>
      <xdr:col>9</xdr:col>
      <xdr:colOff>638175</xdr:colOff>
      <xdr:row>6</xdr:row>
      <xdr:rowOff>66675</xdr:rowOff>
    </xdr:to>
    <xdr:sp macro="" textlink="">
      <xdr:nvSpPr>
        <xdr:cNvPr id="3" name="Textfeld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962900" y="685800"/>
          <a:ext cx="3552825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* You find an overview on the codes on following website: </a:t>
          </a:r>
        </a:p>
        <a:p>
          <a:r>
            <a:rPr lang="de-DE" sz="1100"/>
            <a:t>https://eur-lex.europa.eu/eli/reg/2016/2066/oj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269873</xdr:colOff>
      <xdr:row>2</xdr:row>
      <xdr:rowOff>152400</xdr:rowOff>
    </xdr:to>
    <xdr:sp macro="" textlink="">
      <xdr:nvSpPr>
        <xdr:cNvPr id="2" name="Textfeld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0" y="0"/>
          <a:ext cx="12033248" cy="5334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order to calculate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yield stability, we need data on yields of the crops you indicated earlier in the crop rotations for at least ten years in a row. It is necessary that the data for all crops are from one site.  An example with winter rye is provided in the first column. </a:t>
          </a:r>
          <a:endParaRPr lang="de-DE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"/>
  <sheetViews>
    <sheetView tabSelected="1" workbookViewId="0">
      <selection activeCell="G1" sqref="G1:H1"/>
    </sheetView>
  </sheetViews>
  <sheetFormatPr baseColWidth="10" defaultColWidth="11.42578125" defaultRowHeight="15" x14ac:dyDescent="0.25"/>
  <cols>
    <col min="1" max="1" width="17.42578125" style="5" bestFit="1" customWidth="1"/>
    <col min="2" max="2" width="11.42578125" style="5"/>
    <col min="3" max="4" width="13.140625" style="5" bestFit="1" customWidth="1"/>
    <col min="5" max="8" width="11.42578125" style="5"/>
    <col min="9" max="9" width="0" style="5" hidden="1" customWidth="1"/>
    <col min="10" max="11" width="11.42578125" style="5"/>
    <col min="12" max="12" width="0" style="5" hidden="1" customWidth="1"/>
    <col min="13" max="16384" width="11.42578125" style="5"/>
  </cols>
  <sheetData>
    <row r="1" spans="1:17" ht="76.5" x14ac:dyDescent="0.35">
      <c r="B1" s="5" t="s">
        <v>243</v>
      </c>
      <c r="C1" s="5" t="s">
        <v>244</v>
      </c>
      <c r="D1" s="5" t="s">
        <v>245</v>
      </c>
      <c r="E1" s="122" t="s">
        <v>413</v>
      </c>
      <c r="F1" s="122" t="s">
        <v>267</v>
      </c>
      <c r="G1" s="110" t="s">
        <v>268</v>
      </c>
      <c r="H1" s="110" t="s">
        <v>269</v>
      </c>
      <c r="I1" s="93" t="s">
        <v>273</v>
      </c>
      <c r="J1" s="93" t="s">
        <v>270</v>
      </c>
      <c r="K1" s="93" t="s">
        <v>271</v>
      </c>
      <c r="L1" s="93" t="s">
        <v>272</v>
      </c>
      <c r="M1" s="93" t="s">
        <v>274</v>
      </c>
      <c r="N1" s="93" t="s">
        <v>279</v>
      </c>
      <c r="O1" s="93" t="s">
        <v>275</v>
      </c>
      <c r="P1" s="110" t="s">
        <v>370</v>
      </c>
      <c r="Q1" s="93" t="s">
        <v>276</v>
      </c>
    </row>
    <row r="2" spans="1:17" x14ac:dyDescent="0.25">
      <c r="A2" s="5" t="s">
        <v>246</v>
      </c>
      <c r="B2" s="5" t="s">
        <v>151</v>
      </c>
      <c r="C2" s="5" t="s">
        <v>247</v>
      </c>
      <c r="D2" s="5" t="s">
        <v>248</v>
      </c>
      <c r="E2" s="95">
        <f>GM!B15</f>
        <v>378.6466666666667</v>
      </c>
      <c r="F2" s="95"/>
      <c r="G2" s="95">
        <f>E2-(0.15*I2)</f>
        <v>309.3801666666667</v>
      </c>
      <c r="H2" s="95">
        <f>E2-(0.05*I2)</f>
        <v>355.55783333333335</v>
      </c>
      <c r="I2" s="95">
        <f>L2*5.62</f>
        <v>461.7766666666667</v>
      </c>
      <c r="J2" s="95">
        <f>'NO3'!K6</f>
        <v>40.348542250000001</v>
      </c>
      <c r="K2" s="95">
        <f>'N fertilizer'!B23</f>
        <v>82.166666666666671</v>
      </c>
      <c r="L2" s="95">
        <f>'N fertilizer'!B23</f>
        <v>82.166666666666671</v>
      </c>
      <c r="M2" s="114">
        <f>'N2O calculations'!A31/3</f>
        <v>4.1807691760039694</v>
      </c>
      <c r="N2" s="88">
        <f>'Data for yield stability'!K22</f>
        <v>0.14656705245173171</v>
      </c>
      <c r="O2" s="95">
        <f>'Protein &amp; Energy Output'!C14</f>
        <v>547.93400000000008</v>
      </c>
      <c r="P2" s="95">
        <f>'Protein &amp; Energy Output'!B19</f>
        <v>94.493533333333332</v>
      </c>
      <c r="Q2" s="94">
        <f>'Crop diversity'!E17</f>
        <v>0.63417863571220567</v>
      </c>
    </row>
    <row r="3" spans="1:17" x14ac:dyDescent="0.25">
      <c r="A3" s="5" t="s">
        <v>249</v>
      </c>
      <c r="B3" s="5" t="s">
        <v>151</v>
      </c>
      <c r="C3" s="5" t="s">
        <v>248</v>
      </c>
      <c r="D3" s="5" t="s">
        <v>250</v>
      </c>
      <c r="E3" s="95">
        <f>GM!I15</f>
        <v>611.5100000000001</v>
      </c>
      <c r="F3" s="95"/>
      <c r="G3" s="95">
        <f>E3-(0.15*I3)</f>
        <v>535.07800000000009</v>
      </c>
      <c r="H3" s="95">
        <f>E3-(0.05*I3)</f>
        <v>586.03266666666673</v>
      </c>
      <c r="I3" s="95">
        <f>L3*5.62</f>
        <v>509.54666666666668</v>
      </c>
      <c r="J3" s="95">
        <f>'NO3'!K11</f>
        <v>44.657701693210633</v>
      </c>
      <c r="K3" s="95">
        <f>'N fertilizer'!I23</f>
        <v>90.666666666666671</v>
      </c>
      <c r="L3" s="95">
        <f>'N fertilizer'!I23</f>
        <v>90.666666666666671</v>
      </c>
      <c r="M3" s="114">
        <f>'N2O calculations'!H31/3</f>
        <v>4.7675272995128006</v>
      </c>
      <c r="N3" s="88">
        <f>'Data for yield stability'!K23</f>
        <v>0.16824816269213008</v>
      </c>
      <c r="O3" s="95">
        <f>'Protein &amp; Energy Output'!G14</f>
        <v>999.77459999999996</v>
      </c>
      <c r="P3" s="95">
        <f>'Protein &amp; Energy Output'!F19</f>
        <v>116.88495333333333</v>
      </c>
      <c r="Q3" s="94">
        <f>'Crop diversity'!E23</f>
        <v>0.63417863571220567</v>
      </c>
    </row>
    <row r="4" spans="1:17" x14ac:dyDescent="0.25">
      <c r="E4" s="95"/>
      <c r="F4" s="95"/>
      <c r="G4" s="95"/>
      <c r="H4" s="95"/>
    </row>
  </sheetData>
  <pageMargins left="0.7" right="0.7" top="0.78740157499999996" bottom="0.78740157499999996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K16" sqref="K16:K17"/>
    </sheetView>
  </sheetViews>
  <sheetFormatPr baseColWidth="10" defaultColWidth="11.42578125" defaultRowHeight="15" x14ac:dyDescent="0.25"/>
  <cols>
    <col min="1" max="16384" width="11.42578125" style="5"/>
  </cols>
  <sheetData>
    <row r="1" spans="1:6" x14ac:dyDescent="0.25">
      <c r="C1" s="5" t="s">
        <v>243</v>
      </c>
      <c r="D1" s="5" t="s">
        <v>244</v>
      </c>
      <c r="E1" s="5" t="s">
        <v>245</v>
      </c>
    </row>
    <row r="2" spans="1:6" x14ac:dyDescent="0.25">
      <c r="A2" s="5" t="s">
        <v>246</v>
      </c>
      <c r="C2" s="5" t="s">
        <v>151</v>
      </c>
      <c r="D2" s="5" t="s">
        <v>247</v>
      </c>
      <c r="E2" s="5" t="s">
        <v>248</v>
      </c>
    </row>
    <row r="3" spans="1:6" x14ac:dyDescent="0.25">
      <c r="A3" s="5" t="s">
        <v>249</v>
      </c>
      <c r="C3" s="5" t="s">
        <v>151</v>
      </c>
      <c r="D3" s="5" t="s">
        <v>248</v>
      </c>
      <c r="E3" s="5" t="s">
        <v>250</v>
      </c>
    </row>
    <row r="8" spans="1:6" ht="18" x14ac:dyDescent="0.35">
      <c r="A8" s="5" t="s">
        <v>254</v>
      </c>
      <c r="C8" s="5" t="s">
        <v>255</v>
      </c>
      <c r="E8" s="5" t="s">
        <v>256</v>
      </c>
      <c r="F8" s="5">
        <f>LN(3)</f>
        <v>1.0986122886681098</v>
      </c>
    </row>
    <row r="12" spans="1:6" ht="18" x14ac:dyDescent="0.35">
      <c r="A12" s="5" t="s">
        <v>257</v>
      </c>
      <c r="B12" s="5" t="s">
        <v>258</v>
      </c>
      <c r="C12" s="5" t="s">
        <v>259</v>
      </c>
      <c r="D12" s="5" t="s">
        <v>260</v>
      </c>
      <c r="E12" s="5" t="s">
        <v>261</v>
      </c>
    </row>
    <row r="13" spans="1:6" x14ac:dyDescent="0.25">
      <c r="A13" s="5" t="s">
        <v>262</v>
      </c>
    </row>
    <row r="14" spans="1:6" x14ac:dyDescent="0.25">
      <c r="A14" s="5" t="s">
        <v>263</v>
      </c>
      <c r="B14" s="88">
        <f>2/3</f>
        <v>0.66666666666666663</v>
      </c>
      <c r="C14" s="5">
        <v>0.67</v>
      </c>
      <c r="D14" s="5">
        <f>LN(C14)</f>
        <v>-0.40047756659712525</v>
      </c>
      <c r="E14" s="5">
        <f>C14*D14</f>
        <v>-0.26831996962007393</v>
      </c>
    </row>
    <row r="15" spans="1:6" x14ac:dyDescent="0.25">
      <c r="A15" s="5" t="s">
        <v>264</v>
      </c>
      <c r="B15" s="88">
        <f>1/3</f>
        <v>0.33333333333333331</v>
      </c>
      <c r="C15" s="5">
        <v>0.33</v>
      </c>
      <c r="D15" s="5">
        <f>LN(C15)</f>
        <v>-1.1086626245216111</v>
      </c>
      <c r="E15" s="5">
        <f>C15*D15</f>
        <v>-0.36585866609213169</v>
      </c>
    </row>
    <row r="16" spans="1:6" x14ac:dyDescent="0.25">
      <c r="A16" s="5" t="s">
        <v>265</v>
      </c>
    </row>
    <row r="17" spans="1:5" x14ac:dyDescent="0.25">
      <c r="E17" s="5">
        <f>-(E14+E15+E16)</f>
        <v>0.63417863571220567</v>
      </c>
    </row>
    <row r="19" spans="1:5" x14ac:dyDescent="0.25">
      <c r="A19" s="5" t="s">
        <v>266</v>
      </c>
    </row>
    <row r="20" spans="1:5" x14ac:dyDescent="0.25">
      <c r="A20" s="5" t="s">
        <v>263</v>
      </c>
      <c r="B20" s="88">
        <f>2/3</f>
        <v>0.66666666666666663</v>
      </c>
      <c r="C20" s="5">
        <v>0.67</v>
      </c>
      <c r="D20" s="5">
        <f>LN(C20)</f>
        <v>-0.40047756659712525</v>
      </c>
      <c r="E20" s="5">
        <f>C20*D20</f>
        <v>-0.26831996962007393</v>
      </c>
    </row>
    <row r="21" spans="1:5" x14ac:dyDescent="0.25">
      <c r="A21" s="5" t="s">
        <v>264</v>
      </c>
      <c r="B21" s="88"/>
    </row>
    <row r="22" spans="1:5" x14ac:dyDescent="0.25">
      <c r="A22" s="5" t="s">
        <v>265</v>
      </c>
      <c r="B22" s="88">
        <f t="shared" ref="B22" si="0">1/3</f>
        <v>0.33333333333333331</v>
      </c>
      <c r="C22" s="5">
        <v>0.33</v>
      </c>
      <c r="D22" s="5">
        <f>LN(C22)</f>
        <v>-1.1086626245216111</v>
      </c>
      <c r="E22" s="5">
        <f>C22*D22</f>
        <v>-0.36585866609213169</v>
      </c>
    </row>
    <row r="23" spans="1:5" x14ac:dyDescent="0.25">
      <c r="E23" s="5">
        <f>-(E20+E21+E22)</f>
        <v>0.63417863571220567</v>
      </c>
    </row>
  </sheetData>
  <pageMargins left="0.7" right="0.7" top="0.78740157499999996" bottom="0.78740157499999996" header="0.3" footer="0.3"/>
  <pageSetup paperSize="9" orientation="portrait" horizontalDpi="4294967294" vertic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O19" sqref="O19"/>
    </sheetView>
  </sheetViews>
  <sheetFormatPr baseColWidth="10" defaultColWidth="10.85546875" defaultRowHeight="15" x14ac:dyDescent="0.25"/>
  <cols>
    <col min="1" max="1" width="16.5703125" bestFit="1" customWidth="1"/>
    <col min="3" max="3" width="19.28515625" customWidth="1"/>
    <col min="7" max="7" width="12.5703125" bestFit="1" customWidth="1"/>
    <col min="8" max="8" width="16.28515625" bestFit="1" customWidth="1"/>
    <col min="9" max="9" width="11.5703125" bestFit="1" customWidth="1"/>
    <col min="10" max="10" width="19" bestFit="1" customWidth="1"/>
    <col min="11" max="11" width="17.28515625" bestFit="1" customWidth="1"/>
  </cols>
  <sheetData>
    <row r="1" spans="1:12" x14ac:dyDescent="0.25">
      <c r="A1" s="6"/>
      <c r="B1" s="113" t="s">
        <v>361</v>
      </c>
      <c r="C1" s="113" t="s">
        <v>362</v>
      </c>
      <c r="D1" s="113" t="s">
        <v>363</v>
      </c>
      <c r="E1" s="113" t="s">
        <v>364</v>
      </c>
      <c r="F1" s="113" t="s">
        <v>365</v>
      </c>
      <c r="G1" s="113" t="s">
        <v>366</v>
      </c>
      <c r="H1" s="113" t="s">
        <v>367</v>
      </c>
      <c r="I1" s="113" t="s">
        <v>412</v>
      </c>
      <c r="J1" s="113" t="s">
        <v>369</v>
      </c>
      <c r="K1" s="113" t="s">
        <v>368</v>
      </c>
    </row>
    <row r="2" spans="1:12" x14ac:dyDescent="0.25">
      <c r="A2" s="6" t="s">
        <v>262</v>
      </c>
      <c r="B2" s="6"/>
      <c r="C2" s="6"/>
      <c r="D2" s="6"/>
      <c r="E2" s="6"/>
      <c r="F2" s="6"/>
      <c r="G2" s="6"/>
      <c r="H2" s="6"/>
      <c r="J2" s="6"/>
      <c r="K2" s="6"/>
    </row>
    <row r="3" spans="1:12" x14ac:dyDescent="0.25">
      <c r="A3" s="5" t="s">
        <v>151</v>
      </c>
      <c r="B3" s="5">
        <v>7.9</v>
      </c>
      <c r="C3" s="119">
        <v>129.5</v>
      </c>
      <c r="D3" s="95"/>
      <c r="E3" s="119">
        <v>131.9768</v>
      </c>
      <c r="F3" s="119">
        <v>143.11607142857099</v>
      </c>
      <c r="G3" s="119">
        <v>179.36160000000001</v>
      </c>
      <c r="H3" s="119">
        <v>93.254471428571406</v>
      </c>
      <c r="I3" s="120">
        <v>0</v>
      </c>
      <c r="J3" s="118">
        <v>0.55649999999999999</v>
      </c>
      <c r="K3" s="119">
        <v>51.89611335</v>
      </c>
      <c r="L3" s="95"/>
    </row>
    <row r="4" spans="1:12" x14ac:dyDescent="0.25">
      <c r="A4" s="5" t="s">
        <v>247</v>
      </c>
      <c r="B4" s="5">
        <v>2.7</v>
      </c>
      <c r="C4" s="119">
        <v>30</v>
      </c>
      <c r="D4" s="95"/>
      <c r="E4" s="119">
        <v>30.145600000000002</v>
      </c>
      <c r="F4" s="119">
        <v>154.125</v>
      </c>
      <c r="G4" s="119">
        <v>135.62639999999999</v>
      </c>
      <c r="H4" s="119">
        <v>48.498600000000003</v>
      </c>
      <c r="I4" s="120">
        <v>0</v>
      </c>
      <c r="J4" s="118">
        <v>0.55649999999999999</v>
      </c>
      <c r="K4" s="119">
        <v>26.989470900000001</v>
      </c>
      <c r="L4" s="95"/>
    </row>
    <row r="5" spans="1:12" x14ac:dyDescent="0.25">
      <c r="A5" s="5" t="s">
        <v>248</v>
      </c>
      <c r="B5" s="5">
        <v>5.5</v>
      </c>
      <c r="C5" s="119">
        <v>87</v>
      </c>
      <c r="D5" s="95"/>
      <c r="E5" s="119">
        <v>90.0702</v>
      </c>
      <c r="F5" s="119">
        <v>110.08928571428601</v>
      </c>
      <c r="G5" s="119">
        <v>121.33</v>
      </c>
      <c r="H5" s="119">
        <v>75.759285714285696</v>
      </c>
      <c r="I5" s="120">
        <v>0</v>
      </c>
      <c r="J5" s="118">
        <v>0.55649999999999999</v>
      </c>
      <c r="K5" s="119">
        <v>42.160042500000003</v>
      </c>
      <c r="L5" s="95"/>
    </row>
    <row r="6" spans="1:12" x14ac:dyDescent="0.25">
      <c r="C6" s="95"/>
      <c r="D6" s="95"/>
      <c r="E6" s="95"/>
      <c r="F6" s="95"/>
      <c r="G6" s="95"/>
      <c r="H6" s="95"/>
      <c r="I6" s="95"/>
      <c r="J6" s="95"/>
      <c r="K6" s="95">
        <f>AVERAGE(K3:K5)</f>
        <v>40.348542250000001</v>
      </c>
      <c r="L6" s="95"/>
    </row>
    <row r="7" spans="1:12" x14ac:dyDescent="0.25">
      <c r="A7" s="6" t="s">
        <v>266</v>
      </c>
      <c r="C7" s="95"/>
      <c r="D7" s="95"/>
      <c r="E7" s="95"/>
      <c r="F7" s="95"/>
      <c r="G7" s="95"/>
      <c r="H7" s="95"/>
      <c r="I7" s="95"/>
      <c r="J7" s="95"/>
      <c r="K7" s="95"/>
      <c r="L7" s="95"/>
    </row>
    <row r="8" spans="1:12" x14ac:dyDescent="0.25">
      <c r="A8" s="5" t="s">
        <v>151</v>
      </c>
      <c r="B8" s="5">
        <v>9.6</v>
      </c>
      <c r="C8" s="119">
        <v>137.5</v>
      </c>
      <c r="D8" s="95"/>
      <c r="E8" s="119">
        <v>139.9768</v>
      </c>
      <c r="F8" s="119">
        <v>186.050892857143</v>
      </c>
      <c r="G8" s="119">
        <v>217.95840000000001</v>
      </c>
      <c r="H8" s="119">
        <v>105.592492857143</v>
      </c>
      <c r="I8" s="121">
        <v>0</v>
      </c>
      <c r="J8" s="118">
        <v>0.55649999999999999</v>
      </c>
      <c r="K8" s="119">
        <v>58.762222274999999</v>
      </c>
      <c r="L8" s="95"/>
    </row>
    <row r="9" spans="1:12" x14ac:dyDescent="0.25">
      <c r="A9" s="5" t="s">
        <v>248</v>
      </c>
      <c r="B9" s="5">
        <v>6.57</v>
      </c>
      <c r="C9" s="119">
        <v>87</v>
      </c>
      <c r="D9" s="95"/>
      <c r="E9" s="119">
        <v>90.0702</v>
      </c>
      <c r="F9" s="119">
        <v>110.08928571428601</v>
      </c>
      <c r="G9" s="119">
        <v>144.9342</v>
      </c>
      <c r="H9" s="119">
        <v>52.155085714285697</v>
      </c>
      <c r="I9" s="121">
        <v>0</v>
      </c>
      <c r="J9" s="118">
        <v>0.55649999999999999</v>
      </c>
      <c r="K9" s="119">
        <v>29.024305200000001</v>
      </c>
      <c r="L9" s="95"/>
    </row>
    <row r="10" spans="1:12" x14ac:dyDescent="0.25">
      <c r="A10" s="5" t="s">
        <v>250</v>
      </c>
      <c r="B10" s="5">
        <v>4.0999999999999996</v>
      </c>
      <c r="C10" s="119">
        <v>47.5</v>
      </c>
      <c r="D10" s="95"/>
      <c r="E10" s="119">
        <v>210.809707061577</v>
      </c>
      <c r="F10" s="119">
        <v>132.107142857143</v>
      </c>
      <c r="G10" s="119">
        <v>96.612394241452193</v>
      </c>
      <c r="H10" s="119">
        <v>82.994748615690696</v>
      </c>
      <c r="I10" s="119">
        <v>152.32320706157699</v>
      </c>
      <c r="J10" s="118">
        <v>0.55649999999999999</v>
      </c>
      <c r="K10" s="119">
        <v>46.1865776046319</v>
      </c>
      <c r="L10" s="95"/>
    </row>
    <row r="11" spans="1:12" x14ac:dyDescent="0.25">
      <c r="C11" s="95"/>
      <c r="D11" s="95"/>
      <c r="E11" s="95"/>
      <c r="F11" s="95"/>
      <c r="G11" s="95"/>
      <c r="H11" s="95"/>
      <c r="I11" s="95"/>
      <c r="J11" s="95"/>
      <c r="K11" s="95">
        <f>AVERAGE(K8:K10)</f>
        <v>44.657701693210633</v>
      </c>
      <c r="L11" s="95"/>
    </row>
    <row r="12" spans="1:12" x14ac:dyDescent="0.25">
      <c r="C12" s="95"/>
      <c r="D12" s="95"/>
      <c r="E12" s="95"/>
      <c r="F12" s="95"/>
      <c r="G12" s="95"/>
      <c r="H12" s="95"/>
      <c r="I12" s="95"/>
      <c r="K12" s="95"/>
      <c r="L12" s="95"/>
    </row>
    <row r="13" spans="1:12" x14ac:dyDescent="0.25">
      <c r="C13" s="95"/>
      <c r="D13" s="95"/>
      <c r="E13" s="95"/>
      <c r="F13" s="95"/>
      <c r="G13" s="95"/>
      <c r="H13" s="95"/>
      <c r="I13" s="95"/>
    </row>
    <row r="15" spans="1:12" x14ac:dyDescent="0.25">
      <c r="A15" s="6" t="s">
        <v>414</v>
      </c>
      <c r="B15" s="5"/>
      <c r="C15" s="5"/>
      <c r="D15" s="5"/>
      <c r="E15" s="5"/>
      <c r="F15" s="5"/>
      <c r="G15" s="5"/>
      <c r="H15" s="5"/>
      <c r="J15" s="5"/>
      <c r="K15" s="5"/>
      <c r="L15" s="5"/>
    </row>
    <row r="16" spans="1:12" x14ac:dyDescent="0.25">
      <c r="A16" s="5"/>
      <c r="B16" s="5"/>
      <c r="C16" s="5"/>
      <c r="D16" s="5"/>
      <c r="E16" s="5"/>
      <c r="F16" s="5"/>
      <c r="G16" s="5"/>
      <c r="H16" s="5"/>
    </row>
    <row r="17" spans="1:8" x14ac:dyDescent="0.25">
      <c r="A17" s="5" t="s">
        <v>415</v>
      </c>
      <c r="B17" s="5"/>
      <c r="C17" s="5"/>
      <c r="D17" s="5"/>
      <c r="E17" s="5"/>
      <c r="F17" s="5"/>
      <c r="G17" s="5"/>
      <c r="H17" s="5"/>
    </row>
    <row r="18" spans="1:8" x14ac:dyDescent="0.25">
      <c r="A18" s="5"/>
      <c r="B18" s="5"/>
      <c r="C18" s="5"/>
      <c r="D18" s="5"/>
      <c r="E18" s="5"/>
      <c r="F18" s="5"/>
      <c r="G18" s="5"/>
      <c r="H18" s="5"/>
    </row>
    <row r="19" spans="1:8" x14ac:dyDescent="0.25">
      <c r="A19" s="5" t="s">
        <v>416</v>
      </c>
      <c r="B19" s="5"/>
      <c r="C19" s="5"/>
      <c r="D19" s="24" t="s">
        <v>417</v>
      </c>
      <c r="E19" s="5"/>
      <c r="F19" s="5"/>
      <c r="G19" s="5"/>
      <c r="H19" s="5"/>
    </row>
    <row r="20" spans="1:8" x14ac:dyDescent="0.25">
      <c r="A20" s="5"/>
      <c r="B20" s="5"/>
      <c r="C20" s="5"/>
      <c r="D20" s="5"/>
      <c r="E20" s="5"/>
      <c r="F20" s="5"/>
      <c r="G20" s="5"/>
      <c r="H20" s="5"/>
    </row>
    <row r="21" spans="1:8" x14ac:dyDescent="0.25">
      <c r="A21" s="5" t="s">
        <v>418</v>
      </c>
      <c r="B21" s="5"/>
      <c r="C21" s="5"/>
      <c r="D21" s="24" t="s">
        <v>419</v>
      </c>
      <c r="E21" s="5"/>
      <c r="F21" s="5"/>
      <c r="G21" s="5"/>
      <c r="H21" s="5"/>
    </row>
    <row r="22" spans="1:8" x14ac:dyDescent="0.25">
      <c r="A22" s="5"/>
      <c r="B22" s="5"/>
      <c r="C22" s="5"/>
      <c r="D22" s="5"/>
      <c r="E22" s="5"/>
      <c r="F22" s="5"/>
      <c r="G22" s="5"/>
      <c r="H22" s="5"/>
    </row>
    <row r="23" spans="1:8" x14ac:dyDescent="0.25">
      <c r="A23" s="5" t="s">
        <v>420</v>
      </c>
      <c r="B23" s="5"/>
      <c r="C23" s="5"/>
      <c r="D23" s="5"/>
      <c r="E23" s="5"/>
      <c r="F23" s="5"/>
      <c r="G23" s="5"/>
      <c r="H23" s="5"/>
    </row>
    <row r="24" spans="1:8" x14ac:dyDescent="0.25">
      <c r="A24" s="5" t="s">
        <v>421</v>
      </c>
      <c r="B24" s="5"/>
      <c r="C24" s="5"/>
      <c r="D24" s="24" t="s">
        <v>422</v>
      </c>
      <c r="E24" s="5"/>
      <c r="F24" s="5"/>
      <c r="G24" s="5"/>
      <c r="H24" s="5"/>
    </row>
    <row r="25" spans="1:8" x14ac:dyDescent="0.25">
      <c r="A25" s="123"/>
      <c r="B25" s="124"/>
      <c r="C25" s="124"/>
      <c r="D25" s="124"/>
      <c r="E25" s="124"/>
      <c r="F25" s="5"/>
      <c r="G25" s="5"/>
      <c r="H25" s="5"/>
    </row>
    <row r="26" spans="1:8" x14ac:dyDescent="0.25">
      <c r="A26" s="5" t="s">
        <v>423</v>
      </c>
      <c r="B26" s="5"/>
      <c r="C26" s="5"/>
      <c r="D26" s="5"/>
      <c r="E26" s="5"/>
      <c r="F26" s="5"/>
      <c r="G26" s="5"/>
      <c r="H26" s="5"/>
    </row>
    <row r="27" spans="1:8" x14ac:dyDescent="0.25">
      <c r="A27" s="5"/>
      <c r="B27" s="5"/>
      <c r="C27" s="5"/>
      <c r="D27" s="5"/>
      <c r="E27" s="5"/>
      <c r="F27" s="5"/>
      <c r="G27" s="5"/>
      <c r="H27" s="5"/>
    </row>
    <row r="28" spans="1:8" x14ac:dyDescent="0.25">
      <c r="A28" s="5"/>
      <c r="B28" s="5"/>
      <c r="C28" s="5"/>
      <c r="D28" s="5"/>
      <c r="E28" s="5"/>
      <c r="F28" s="5"/>
      <c r="G28" s="5"/>
      <c r="H28" s="5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opLeftCell="A6" workbookViewId="0">
      <selection activeCell="N20" sqref="N20"/>
    </sheetView>
  </sheetViews>
  <sheetFormatPr baseColWidth="10" defaultColWidth="9.140625" defaultRowHeight="15" x14ac:dyDescent="0.25"/>
  <cols>
    <col min="1" max="16384" width="9.140625" style="5"/>
  </cols>
  <sheetData>
    <row r="1" spans="1:20" x14ac:dyDescent="0.25">
      <c r="A1" s="5">
        <f>'N fertilizer'!A1</f>
        <v>0</v>
      </c>
      <c r="B1" s="5" t="str">
        <f>'N fertilizer'!B1</f>
        <v>Crop 1</v>
      </c>
      <c r="C1" s="5" t="str">
        <f>'N fertilizer'!C1</f>
        <v>Crop 2</v>
      </c>
      <c r="D1" s="5" t="str">
        <f>'N fertilizer'!D1</f>
        <v>Crop 3</v>
      </c>
    </row>
    <row r="2" spans="1:20" x14ac:dyDescent="0.25">
      <c r="A2" s="5" t="str">
        <f>'N fertilizer'!A2</f>
        <v xml:space="preserve">Without legumes: </v>
      </c>
      <c r="B2" s="5" t="str">
        <f>'N fertilizer'!B2</f>
        <v>Corn</v>
      </c>
      <c r="C2" s="5" t="str">
        <f>'N fertilizer'!C2</f>
        <v>Sunflower</v>
      </c>
      <c r="D2" s="5" t="str">
        <f>'N fertilizer'!D2</f>
        <v>Winter wheat</v>
      </c>
    </row>
    <row r="3" spans="1:20" x14ac:dyDescent="0.25">
      <c r="A3" s="5" t="str">
        <f>'N fertilizer'!A3</f>
        <v xml:space="preserve">With legumes: </v>
      </c>
      <c r="B3" s="5" t="str">
        <f>'N fertilizer'!B3</f>
        <v>Corn</v>
      </c>
      <c r="C3" s="5" t="str">
        <f>'N fertilizer'!C3</f>
        <v>Winter wheat</v>
      </c>
      <c r="D3" s="5" t="str">
        <f>'N fertilizer'!D3</f>
        <v>Soybean</v>
      </c>
    </row>
    <row r="4" spans="1:20" x14ac:dyDescent="0.25">
      <c r="A4" s="5">
        <f>'N fertilizer'!A4</f>
        <v>0</v>
      </c>
      <c r="B4" s="5">
        <f>'N fertilizer'!B4</f>
        <v>0</v>
      </c>
      <c r="C4" s="5">
        <f>'N fertilizer'!C4</f>
        <v>0</v>
      </c>
      <c r="D4" s="5">
        <f>'N fertilizer'!D4</f>
        <v>0</v>
      </c>
    </row>
    <row r="6" spans="1:20" x14ac:dyDescent="0.25">
      <c r="A6" s="101" t="s">
        <v>304</v>
      </c>
      <c r="B6" s="5" t="s">
        <v>305</v>
      </c>
    </row>
    <row r="7" spans="1:20" x14ac:dyDescent="0.25">
      <c r="B7" s="33" t="str">
        <f>'N fertilizer'!B7</f>
        <v>Corn</v>
      </c>
      <c r="C7" s="33" t="str">
        <f>'N fertilizer'!C7</f>
        <v>Sunflower</v>
      </c>
      <c r="D7" s="33" t="str">
        <f>'N fertilizer'!D7</f>
        <v>Winter wheat</v>
      </c>
      <c r="E7" s="33"/>
      <c r="F7" s="33"/>
      <c r="G7" s="33"/>
      <c r="I7" s="33" t="str">
        <f>'N fertilizer'!I7</f>
        <v>Corn</v>
      </c>
      <c r="J7" s="33" t="str">
        <f>'N fertilizer'!J7</f>
        <v>Winter wheat</v>
      </c>
      <c r="K7" s="33" t="str">
        <f>'N fertilizer'!K7</f>
        <v>Soybean</v>
      </c>
      <c r="L7" s="33"/>
      <c r="M7" s="33"/>
      <c r="N7" s="33"/>
      <c r="P7" s="33"/>
      <c r="Q7" s="33"/>
      <c r="R7" s="33"/>
      <c r="S7" s="33"/>
      <c r="T7" s="33"/>
    </row>
    <row r="8" spans="1:20" x14ac:dyDescent="0.25">
      <c r="A8" s="33"/>
      <c r="B8" s="98">
        <f>VLOOKUP(B7,'Mapping crops'!$A:$B,2,FALSE)</f>
        <v>7</v>
      </c>
      <c r="C8" s="98">
        <f>VLOOKUP(C7,'Mapping crops'!$A:$B,2,FALSE)</f>
        <v>1</v>
      </c>
      <c r="D8" s="98">
        <f>VLOOKUP(D7,'Mapping crops'!$A:$B,2,FALSE)</f>
        <v>3</v>
      </c>
      <c r="E8" s="98"/>
      <c r="F8" s="98"/>
      <c r="G8" s="6"/>
      <c r="H8" s="98"/>
      <c r="I8" s="98">
        <f>VLOOKUP(I7,'Mapping crops'!$A:$B,2,FALSE)</f>
        <v>7</v>
      </c>
      <c r="J8" s="98">
        <f>VLOOKUP(J7,'Mapping crops'!$A:$B,2,FALSE)</f>
        <v>3</v>
      </c>
      <c r="K8" s="98">
        <f>VLOOKUP(K7,'Mapping crops'!$A:$B,2,FALSE)</f>
        <v>13</v>
      </c>
      <c r="L8" s="98"/>
      <c r="M8" s="98"/>
      <c r="N8" s="98"/>
      <c r="O8" s="98"/>
      <c r="P8" s="98"/>
      <c r="Q8" s="98"/>
      <c r="R8" s="98"/>
      <c r="S8" s="98"/>
      <c r="T8" s="98"/>
    </row>
    <row r="9" spans="1:20" x14ac:dyDescent="0.25">
      <c r="A9" s="102" t="s">
        <v>306</v>
      </c>
      <c r="B9" s="5">
        <f>IF(ISBLANK('N fertilizer'!B10),0,VLOOKUP('N fertilizer'!B10,'N2O default values'!$I:$J,2,FALSE)*'N fertilizer'!B13)</f>
        <v>13.799999999999999</v>
      </c>
      <c r="C9" s="5">
        <f>IF(ISBLANK('N fertilizer'!C10),0,VLOOKUP('N fertilizer'!C10,'N2O default values'!$I:$J,2,FALSE)*'N fertilizer'!C13)</f>
        <v>1.5</v>
      </c>
      <c r="D9" s="5">
        <f>IF(ISBLANK('N fertilizer'!D10),0,VLOOKUP('N fertilizer'!D10,'N2O default values'!$I:$J,2,FALSE)*'N fertilizer'!D13)</f>
        <v>10.35</v>
      </c>
      <c r="I9" s="5">
        <f>IF(ISBLANK('N fertilizer'!I10),0,VLOOKUP('N fertilizer'!I10,'N2O default values'!$I:$J,2,FALSE)*'N fertilizer'!I13)</f>
        <v>17.25</v>
      </c>
      <c r="J9" s="5">
        <f>IF(ISBLANK('N fertilizer'!J10),0,VLOOKUP('N fertilizer'!J10,'N2O default values'!$I:$J,2,FALSE)*'N fertilizer'!J13)</f>
        <v>10.35</v>
      </c>
      <c r="K9" s="5">
        <f>IF(ISBLANK('N fertilizer'!K10),0,VLOOKUP('N fertilizer'!K10,'N2O default values'!$I:$J,2,FALSE)*'N fertilizer'!K13)</f>
        <v>0.875</v>
      </c>
    </row>
    <row r="10" spans="1:20" x14ac:dyDescent="0.25">
      <c r="A10" s="102" t="s">
        <v>306</v>
      </c>
      <c r="B10" s="5">
        <f>IF(ISBLANK('N fertilizer'!B15),0,VLOOKUP('N fertilizer'!B15,'N2O default values'!$I:$J,2,FALSE)*'N fertilizer'!B18)</f>
        <v>1.875</v>
      </c>
      <c r="C10" s="5">
        <f>IF(ISBLANK('N fertilizer'!C15),0,VLOOKUP('N fertilizer'!C15,'N2O default values'!$I:$J,2,FALSE)*'N fertilizer'!C18)</f>
        <v>0</v>
      </c>
      <c r="D10" s="5">
        <f>IF(ISBLANK('N fertilizer'!D15),0,VLOOKUP('N fertilizer'!D15,'N2O default values'!$I:$J,2,FALSE)*'N fertilizer'!D18)</f>
        <v>0.9</v>
      </c>
      <c r="I10" s="5">
        <f>IF(ISBLANK('N fertilizer'!I15),0,VLOOKUP('N fertilizer'!I15,'N2O default values'!$I:$J,2,FALSE)*'N fertilizer'!I18)</f>
        <v>1.125</v>
      </c>
      <c r="J10" s="5">
        <f>IF(ISBLANK('N fertilizer'!J15),0,VLOOKUP('N fertilizer'!J15,'N2O default values'!$I:$J,2,FALSE)*'N fertilizer'!J18)</f>
        <v>0.9</v>
      </c>
      <c r="K10" s="5">
        <f>IF(ISBLANK('N fertilizer'!K15),0,VLOOKUP('N fertilizer'!K15,'N2O default values'!$I:$J,2,FALSE)*'N fertilizer'!K18)</f>
        <v>1.5</v>
      </c>
    </row>
    <row r="11" spans="1:20" x14ac:dyDescent="0.25">
      <c r="A11" s="102" t="s">
        <v>306</v>
      </c>
      <c r="B11" s="5">
        <f>IF(ISBLANK('N fertilizer'!B20),0,VLOOKUP('N fertilizer'!B20,'N2O default values'!$I:$J,2,FALSE)*'N fertilizer'!B23)</f>
        <v>0</v>
      </c>
      <c r="C11" s="5">
        <f>IF(ISBLANK('N fertilizer'!C20),0,VLOOKUP('N fertilizer'!C20,'N2O default values'!$I:$J,2,FALSE)*'N fertilizer'!C23)</f>
        <v>0</v>
      </c>
      <c r="D11" s="5">
        <f>IF(ISBLANK('N fertilizer'!D20),0,VLOOKUP('N fertilizer'!D20,'N2O default values'!$I:$J,2,FALSE)*'N fertilizer'!D23)</f>
        <v>0</v>
      </c>
      <c r="I11" s="5">
        <f>IF(ISBLANK('N fertilizer'!I20),0,VLOOKUP('N fertilizer'!I20,'N2O default values'!$I:$J,2,FALSE)*'N fertilizer'!I23)</f>
        <v>0</v>
      </c>
      <c r="J11" s="5">
        <f>IF(ISBLANK('N fertilizer'!J20),0,VLOOKUP('N fertilizer'!J20,'N2O default values'!$I:$J,2,FALSE)*'N fertilizer'!J23)</f>
        <v>0</v>
      </c>
      <c r="K11" s="5">
        <f>IF(ISBLANK('N fertilizer'!K20),0,VLOOKUP('N fertilizer'!K20,'N2O default values'!$I:$J,2,FALSE)*'N fertilizer'!K23)</f>
        <v>0</v>
      </c>
    </row>
    <row r="12" spans="1:20" x14ac:dyDescent="0.25">
      <c r="A12" s="102" t="s">
        <v>307</v>
      </c>
      <c r="B12" s="119">
        <v>51.89611335</v>
      </c>
      <c r="C12" s="119">
        <v>26.989470900000001</v>
      </c>
      <c r="D12" s="119">
        <v>42.160042500000003</v>
      </c>
      <c r="I12" s="119">
        <v>58.762222274999999</v>
      </c>
      <c r="J12" s="119">
        <v>29.024305200000001</v>
      </c>
      <c r="K12" s="119">
        <v>46.1865776046319</v>
      </c>
    </row>
    <row r="13" spans="1:20" x14ac:dyDescent="0.25">
      <c r="A13" s="102" t="s">
        <v>308</v>
      </c>
    </row>
    <row r="14" spans="1:20" x14ac:dyDescent="0.25">
      <c r="A14" s="102" t="s">
        <v>253</v>
      </c>
      <c r="B14" s="5">
        <f>GM!B$8*VLOOKUP(B8,'N2O default values'!$M:$U,7)</f>
        <v>2.3490000000000002</v>
      </c>
      <c r="C14" s="5">
        <f>GM!C$8*VLOOKUP(C8,'N2O default values'!$M:$U,7)</f>
        <v>4.6749999999999998</v>
      </c>
      <c r="D14" s="5">
        <f>GM!D$8*VLOOKUP(D8,'N2O default values'!$M:$U,7)</f>
        <v>7.0310000000000006</v>
      </c>
      <c r="I14" s="5">
        <f>GM!I$8*VLOOKUP(I8,'N2O default values'!$M:$U,7)</f>
        <v>8.3520000000000003</v>
      </c>
      <c r="J14" s="5">
        <f>GM!J$8*VLOOKUP(J8,'N2O default values'!$M:$U,7)</f>
        <v>5.8473000000000006</v>
      </c>
      <c r="K14" s="5">
        <f>GM!K$8*VLOOKUP(K8,'N2O default values'!$M:$U,7)</f>
        <v>3.7309999999999999</v>
      </c>
    </row>
    <row r="15" spans="1:20" x14ac:dyDescent="0.25">
      <c r="A15" s="102" t="s">
        <v>309</v>
      </c>
      <c r="B15" s="5">
        <f>B14*VLOOKUP(B$8,'N2O default values'!$M:$U,5)*VLOOKUP(B$8,'N2O default values'!$M:$U,8)</f>
        <v>2.3490000000000002</v>
      </c>
      <c r="C15" s="5">
        <f>C14*VLOOKUP(C$8,'N2O default values'!$M:$U,5)*VLOOKUP(C$8,'N2O default values'!$M:$U,8)</f>
        <v>4.6749999999999998</v>
      </c>
      <c r="D15" s="5">
        <f>D14*VLOOKUP(D$8,'N2O default values'!$M:$U,5)*VLOOKUP(D$8,'N2O default values'!$M:$U,8)</f>
        <v>9.1403000000000016</v>
      </c>
      <c r="I15" s="5">
        <f>I14*VLOOKUP(I$8,'N2O default values'!$M:$U,5)*VLOOKUP(I$8,'N2O default values'!$M:$U,8)</f>
        <v>8.3520000000000003</v>
      </c>
      <c r="J15" s="5">
        <f>J14*VLOOKUP(J$8,'N2O default values'!$M:$U,5)*VLOOKUP(J$8,'N2O default values'!$M:$U,8)</f>
        <v>7.601490000000001</v>
      </c>
      <c r="K15" s="5">
        <f>K14*VLOOKUP(K$8,'N2O default values'!$M:$U,5)*VLOOKUP(K$8,'N2O default values'!$M:$U,8)</f>
        <v>7.8350999999999997</v>
      </c>
    </row>
    <row r="16" spans="1:20" x14ac:dyDescent="0.25">
      <c r="A16" s="102" t="s">
        <v>310</v>
      </c>
      <c r="B16" s="5">
        <f>SUM(B14:B15)*VLOOKUP(B$8,'N2O default values'!$M:$U,6)</f>
        <v>1.03356</v>
      </c>
      <c r="C16" s="5">
        <f>SUM(C14:C15)*VLOOKUP(C$8,'N2O default values'!$M:$U,6)</f>
        <v>2.0569999999999999</v>
      </c>
      <c r="D16" s="5">
        <f>SUM(D14:D15)*VLOOKUP(D$8,'N2O default values'!$M:$U,6)</f>
        <v>3.7193990000000006</v>
      </c>
      <c r="I16" s="5">
        <f>SUM(I14:I15)*VLOOKUP(I$8,'N2O default values'!$M:$U,6)</f>
        <v>3.6748800000000004</v>
      </c>
      <c r="J16" s="5">
        <f>SUM(J14:J15)*VLOOKUP(J$8,'N2O default values'!$M:$U,6)</f>
        <v>3.0932217000000009</v>
      </c>
      <c r="K16" s="5">
        <f>SUM(K14:K15)*VLOOKUP(K$8,'N2O default values'!$M:$U,6)</f>
        <v>2.1975589999999996</v>
      </c>
    </row>
    <row r="17" spans="1:20" x14ac:dyDescent="0.25">
      <c r="A17" s="102" t="s">
        <v>311</v>
      </c>
      <c r="B17" s="5">
        <f>(B15-GM!B11*VLOOKUP('N2O calculations'!B$8,'N2O default values'!$M:$U,9))*VLOOKUP('N2O calculations'!B$8,'N2O default values'!$M:$U,3)*1000</f>
        <v>14.094000000000001</v>
      </c>
      <c r="C17" s="5">
        <f>(C15-GM!C11*VLOOKUP('N2O calculations'!C$8,'N2O default values'!$M:$U,9))*VLOOKUP('N2O calculations'!C$8,'N2O default values'!$M:$U,3)*1000</f>
        <v>37.400000000000006</v>
      </c>
      <c r="D17" s="5">
        <f>(D15-GM!D11*VLOOKUP('N2O calculations'!D$8,'N2O default values'!$M:$U,9))*VLOOKUP('N2O calculations'!D$8,'N2O default values'!$M:$U,3)*1000</f>
        <v>54.841800000000013</v>
      </c>
      <c r="I17" s="5">
        <f>(I15-GM!I11*VLOOKUP('N2O calculations'!I$8,'N2O default values'!$M:$U,9))*VLOOKUP('N2O calculations'!I$8,'N2O default values'!$M:$U,3)*1000</f>
        <v>50.112000000000002</v>
      </c>
      <c r="J17" s="5">
        <f>(J15-GM!J11*VLOOKUP('N2O calculations'!J$8,'N2O default values'!$M:$U,9))*VLOOKUP('N2O calculations'!J$8,'N2O default values'!$M:$U,3)*1000</f>
        <v>45.608940000000004</v>
      </c>
      <c r="K17" s="5">
        <f>(K15-GM!K11*VLOOKUP('N2O calculations'!K$8,'N2O default values'!$M:$U,9))*VLOOKUP('N2O calculations'!K$8,'N2O default values'!$M:$U,3)*1000</f>
        <v>62.680799999999998</v>
      </c>
    </row>
    <row r="18" spans="1:20" x14ac:dyDescent="0.25">
      <c r="A18" s="102" t="s">
        <v>312</v>
      </c>
      <c r="B18" s="5">
        <f>B16*VLOOKUP(B$8,'N2O default values'!$M:$U,4)*1000</f>
        <v>7.2349200000000007</v>
      </c>
      <c r="C18" s="5">
        <f>C16*VLOOKUP(C$8,'N2O default values'!$M:$U,4)*1000</f>
        <v>18.512999999999998</v>
      </c>
      <c r="D18" s="5">
        <f>D16*VLOOKUP(D$8,'N2O default values'!$M:$U,4)*1000</f>
        <v>33.474591000000004</v>
      </c>
      <c r="I18" s="5">
        <f>I16*VLOOKUP(I$8,'N2O default values'!$M:$U,4)*1000</f>
        <v>25.724160000000001</v>
      </c>
      <c r="J18" s="5">
        <f>J16*VLOOKUP(J$8,'N2O default values'!$M:$U,4)*1000</f>
        <v>27.838995300000004</v>
      </c>
      <c r="K18" s="5">
        <f>K16*VLOOKUP(K$8,'N2O default values'!$M:$U,4)*1000</f>
        <v>17.580471999999997</v>
      </c>
    </row>
    <row r="19" spans="1:20" x14ac:dyDescent="0.25">
      <c r="A19" s="102" t="s">
        <v>313</v>
      </c>
      <c r="B19" s="5">
        <f>SUM(B17:B18)</f>
        <v>21.328920000000004</v>
      </c>
      <c r="C19" s="5">
        <f t="shared" ref="C19:D19" si="0">SUM(C17:C18)</f>
        <v>55.913000000000004</v>
      </c>
      <c r="D19" s="5">
        <f t="shared" si="0"/>
        <v>88.31639100000001</v>
      </c>
      <c r="I19" s="5">
        <f>SUM(I17:I18)</f>
        <v>75.836160000000007</v>
      </c>
      <c r="J19" s="5">
        <f t="shared" ref="J19:K19" si="1">SUM(J17:J18)</f>
        <v>73.447935300000012</v>
      </c>
      <c r="K19" s="5">
        <f t="shared" si="1"/>
        <v>80.261271999999991</v>
      </c>
    </row>
    <row r="20" spans="1:20" x14ac:dyDescent="0.25">
      <c r="A20" s="102"/>
    </row>
    <row r="23" spans="1:20" x14ac:dyDescent="0.25">
      <c r="A23" s="5" t="s">
        <v>314</v>
      </c>
    </row>
    <row r="24" spans="1:20" x14ac:dyDescent="0.25">
      <c r="B24" s="33" t="str">
        <f>B7</f>
        <v>Corn</v>
      </c>
      <c r="C24" s="33" t="str">
        <f t="shared" ref="C24:D24" si="2">C7</f>
        <v>Sunflower</v>
      </c>
      <c r="D24" s="33" t="str">
        <f t="shared" si="2"/>
        <v>Winter wheat</v>
      </c>
      <c r="E24" s="33"/>
      <c r="F24" s="33"/>
      <c r="G24" s="33"/>
      <c r="I24" s="33" t="str">
        <f>I7</f>
        <v>Corn</v>
      </c>
      <c r="J24" s="33" t="str">
        <f t="shared" ref="J24:K24" si="3">J7</f>
        <v>Winter wheat</v>
      </c>
      <c r="K24" s="33" t="str">
        <f t="shared" si="3"/>
        <v>Soybean</v>
      </c>
      <c r="L24" s="33"/>
      <c r="M24" s="33"/>
      <c r="N24" s="33"/>
      <c r="P24" s="33"/>
      <c r="Q24" s="33"/>
      <c r="R24" s="33"/>
      <c r="S24" s="33"/>
      <c r="T24" s="33"/>
    </row>
    <row r="25" spans="1:20" x14ac:dyDescent="0.25">
      <c r="A25" s="102" t="s">
        <v>315</v>
      </c>
      <c r="B25" s="5">
        <f>'N fertilizer'!B13*'N2O default values'!$E$2+'N fertilizer'!B18*'N2O default values'!$E$2+'N fertilizer'!B23*'N2O default values'!$E$2</f>
        <v>3.3866666666666667</v>
      </c>
      <c r="C25" s="5">
        <f>'N fertilizer'!C13*'N2O default values'!$E$2+'N fertilizer'!C18*'N2O default values'!$E$2+'N fertilizer'!C23*'N2O default values'!$E$2</f>
        <v>0.48</v>
      </c>
      <c r="D25" s="5">
        <f>'N fertilizer'!D13*'N2O default values'!$E$2+'N fertilizer'!D18*'N2O default values'!$E$2+'N fertilizer'!D23*'N2O default values'!$E$2</f>
        <v>1.3920000000000001</v>
      </c>
      <c r="I25" s="5">
        <f>'N fertilizer'!I13*'N2O default values'!$E$2+'N fertilizer'!I18*'N2O default values'!$E$2+'N fertilizer'!I23*'N2O default values'!$E$2</f>
        <v>3.6506666666666669</v>
      </c>
      <c r="J25" s="5">
        <f>'N fertilizer'!J13*'N2O default values'!$E$2+'N fertilizer'!J18*'N2O default values'!$E$2+'N fertilizer'!J23*'N2O default values'!$E$2</f>
        <v>1.3920000000000001</v>
      </c>
      <c r="K25" s="5">
        <f>'N fertilizer'!K13*'N2O default values'!$E$2+'N fertilizer'!K18*'N2O default values'!$E$2+'N fertilizer'!K23*'N2O default values'!$E$2</f>
        <v>0.76</v>
      </c>
    </row>
    <row r="26" spans="1:20" x14ac:dyDescent="0.25">
      <c r="A26" s="5" t="s">
        <v>316</v>
      </c>
      <c r="B26" s="5">
        <f>(SUM(B9:B11)*'N2O default values'!$E$4)</f>
        <v>0.21944999999999998</v>
      </c>
      <c r="C26" s="5">
        <f>(SUM(C9:C11)*'N2O default values'!$E$4)</f>
        <v>2.1000000000000001E-2</v>
      </c>
      <c r="D26" s="5">
        <f>(SUM(D9:D11)*'N2O default values'!$E$4)</f>
        <v>0.1575</v>
      </c>
      <c r="I26" s="5">
        <f>(SUM(I9:I11)*'N2O default values'!$E$4)</f>
        <v>0.25724999999999998</v>
      </c>
      <c r="J26" s="5">
        <f>(SUM(J9:J11)*'N2O default values'!$E$4)</f>
        <v>0.1575</v>
      </c>
      <c r="K26" s="5">
        <f>(SUM(K9:K11)*'N2O default values'!$E$4)</f>
        <v>3.3250000000000002E-2</v>
      </c>
    </row>
    <row r="27" spans="1:20" x14ac:dyDescent="0.25">
      <c r="A27" s="5" t="s">
        <v>307</v>
      </c>
      <c r="B27" s="5">
        <f>B12*'N2O default values'!$E$5</f>
        <v>0.57085724684999994</v>
      </c>
      <c r="C27" s="5">
        <f>C12*'N2O default values'!$E$5</f>
        <v>0.29688417989999999</v>
      </c>
      <c r="D27" s="5">
        <f>D12*'N2O default values'!$E$5</f>
        <v>0.4637604675</v>
      </c>
      <c r="I27" s="5">
        <f>I12*'N2O default values'!$E$5</f>
        <v>0.64638444502499992</v>
      </c>
      <c r="J27" s="5">
        <f>J12*'N2O default values'!$E$5</f>
        <v>0.31926735719999999</v>
      </c>
      <c r="K27" s="5">
        <f>K12*'N2O default values'!$E$5</f>
        <v>0.50805235365095092</v>
      </c>
    </row>
    <row r="28" spans="1:20" x14ac:dyDescent="0.25">
      <c r="A28" s="5" t="s">
        <v>317</v>
      </c>
      <c r="B28" s="5">
        <f>B19*'N2O default values'!$E$3</f>
        <v>0.12797352000000004</v>
      </c>
      <c r="C28" s="5">
        <f>C19*'N2O default values'!$E$3</f>
        <v>0.33547800000000005</v>
      </c>
      <c r="D28" s="5">
        <f>D19*'N2O default values'!$E$3</f>
        <v>0.52989834600000008</v>
      </c>
      <c r="I28" s="5">
        <f>I19*'N2O default values'!$E$3</f>
        <v>0.45501696000000003</v>
      </c>
      <c r="J28" s="5">
        <f>J19*'N2O default values'!$E$3</f>
        <v>0.4406876118000001</v>
      </c>
      <c r="K28" s="5">
        <f>K19*'N2O default values'!$E$3</f>
        <v>0.48156763199999997</v>
      </c>
    </row>
    <row r="30" spans="1:20" x14ac:dyDescent="0.25">
      <c r="A30" s="5" t="s">
        <v>318</v>
      </c>
    </row>
    <row r="31" spans="1:20" x14ac:dyDescent="0.25">
      <c r="A31" s="5">
        <f>SUM(B31:F31)</f>
        <v>12.542307528011907</v>
      </c>
      <c r="B31" s="5">
        <f>SUM(B25:B28)*'N2O default values'!$G$2</f>
        <v>6.764917395526191</v>
      </c>
      <c r="C31" s="5">
        <f>SUM(C25:C28)*'N2O default values'!$G$2</f>
        <v>1.7809977112714288</v>
      </c>
      <c r="D31" s="5">
        <f>SUM(D25:D28)*'N2O default values'!$G$2</f>
        <v>3.9963924212142863</v>
      </c>
      <c r="H31" s="5">
        <f>SUM(I31:M31)</f>
        <v>14.302581898538401</v>
      </c>
      <c r="I31" s="5">
        <f>SUM(I25:I28)*'N2O default values'!$G$2</f>
        <v>7.8717855412297624</v>
      </c>
      <c r="J31" s="5">
        <f>SUM(J25:J28)*'N2O default values'!$G$2</f>
        <v>3.6291435227142861</v>
      </c>
      <c r="K31" s="5">
        <f>SUM(K25:K28)*'N2O default values'!$G$2</f>
        <v>2.8016528345943512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'N2O default values'!$C$1:$D$1</xm:f>
          </x14:formula1>
          <xm:sqref>B6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J15" sqref="J15"/>
    </sheetView>
  </sheetViews>
  <sheetFormatPr baseColWidth="10" defaultColWidth="9.140625" defaultRowHeight="15" x14ac:dyDescent="0.25"/>
  <cols>
    <col min="1" max="1" width="9.140625" style="5"/>
    <col min="2" max="2" width="17.7109375" style="5" bestFit="1" customWidth="1"/>
    <col min="3" max="10" width="9.140625" style="5"/>
    <col min="11" max="11" width="41.7109375" style="5" customWidth="1"/>
    <col min="12" max="12" width="7" style="5" customWidth="1"/>
    <col min="13" max="13" width="14.140625" style="5" bestFit="1" customWidth="1"/>
    <col min="14" max="14" width="41.85546875" style="5" customWidth="1"/>
    <col min="15" max="19" width="30.7109375" style="5" customWidth="1"/>
    <col min="20" max="16384" width="9.140625" style="5"/>
  </cols>
  <sheetData>
    <row r="1" spans="1:21" ht="45" x14ac:dyDescent="0.25">
      <c r="A1" s="5">
        <v>1</v>
      </c>
      <c r="C1" s="5" t="s">
        <v>305</v>
      </c>
      <c r="D1" s="5" t="s">
        <v>319</v>
      </c>
      <c r="G1" s="5" t="s">
        <v>320</v>
      </c>
      <c r="I1" s="5" t="s">
        <v>321</v>
      </c>
      <c r="K1" s="6"/>
      <c r="M1" s="5" t="s">
        <v>322</v>
      </c>
      <c r="N1" s="5" t="s">
        <v>280</v>
      </c>
      <c r="O1" s="37" t="s">
        <v>323</v>
      </c>
      <c r="P1" s="37" t="s">
        <v>324</v>
      </c>
      <c r="Q1" s="37" t="s">
        <v>325</v>
      </c>
      <c r="R1" s="37" t="s">
        <v>326</v>
      </c>
      <c r="S1" s="37" t="s">
        <v>281</v>
      </c>
      <c r="T1" s="37" t="s">
        <v>327</v>
      </c>
      <c r="U1" s="37" t="s">
        <v>328</v>
      </c>
    </row>
    <row r="2" spans="1:21" x14ac:dyDescent="0.25">
      <c r="A2" s="5">
        <v>2</v>
      </c>
      <c r="B2" s="5" t="s">
        <v>329</v>
      </c>
      <c r="C2" s="5">
        <v>1.6E-2</v>
      </c>
      <c r="D2" s="5">
        <v>5.0000000000000001E-3</v>
      </c>
      <c r="E2" s="5">
        <f>HLOOKUP('N2O calculations'!$B$6,$B$1:$D$10,A2)</f>
        <v>1.6E-2</v>
      </c>
      <c r="G2" s="5">
        <f>44/28</f>
        <v>1.5714285714285714</v>
      </c>
      <c r="I2" s="117" t="s">
        <v>330</v>
      </c>
      <c r="J2" s="117">
        <v>0.15</v>
      </c>
      <c r="K2" s="103" t="s">
        <v>331</v>
      </c>
      <c r="L2" s="104">
        <v>0.15</v>
      </c>
      <c r="M2" s="5">
        <v>1</v>
      </c>
      <c r="N2" s="37" t="s">
        <v>282</v>
      </c>
      <c r="O2" s="37">
        <v>8.0000000000000002E-3</v>
      </c>
      <c r="P2" s="37">
        <v>8.9999999999999993E-3</v>
      </c>
      <c r="Q2" s="37">
        <v>1</v>
      </c>
      <c r="R2" s="37">
        <v>0.22</v>
      </c>
      <c r="S2" s="37">
        <v>0.85</v>
      </c>
      <c r="T2" s="37">
        <v>1</v>
      </c>
      <c r="U2" s="5">
        <f>S2</f>
        <v>0.85</v>
      </c>
    </row>
    <row r="3" spans="1:21" x14ac:dyDescent="0.25">
      <c r="A3" s="5">
        <v>3</v>
      </c>
      <c r="B3" s="5" t="s">
        <v>332</v>
      </c>
      <c r="C3" s="5">
        <v>6.0000000000000001E-3</v>
      </c>
      <c r="D3" s="5">
        <v>5.0000000000000001E-3</v>
      </c>
      <c r="E3" s="5">
        <f>HLOOKUP('N2O calculations'!$B$6,$B$1:$D$10,A3)</f>
        <v>6.0000000000000001E-3</v>
      </c>
      <c r="I3" s="5" t="s">
        <v>333</v>
      </c>
      <c r="J3" s="5">
        <v>0.08</v>
      </c>
      <c r="K3" s="105" t="s">
        <v>334</v>
      </c>
      <c r="L3" s="104">
        <v>0.08</v>
      </c>
      <c r="M3" s="5">
        <v>2</v>
      </c>
      <c r="N3" s="5" t="s">
        <v>283</v>
      </c>
      <c r="O3" s="5">
        <v>6.0000000000000001E-3</v>
      </c>
      <c r="P3" s="5">
        <v>8.9999999999999993E-3</v>
      </c>
      <c r="Q3" s="5">
        <v>1.3</v>
      </c>
      <c r="R3" s="5">
        <v>0.22</v>
      </c>
      <c r="S3" s="5">
        <v>0.88</v>
      </c>
      <c r="T3" s="37">
        <v>1</v>
      </c>
      <c r="U3" s="5">
        <f t="shared" ref="U3:U22" si="0">S3</f>
        <v>0.88</v>
      </c>
    </row>
    <row r="4" spans="1:21" x14ac:dyDescent="0.25">
      <c r="A4" s="5">
        <v>4</v>
      </c>
      <c r="B4" s="5" t="s">
        <v>335</v>
      </c>
      <c r="C4" s="5">
        <v>1.4E-2</v>
      </c>
      <c r="D4" s="5">
        <v>5.0000000000000001E-3</v>
      </c>
      <c r="E4" s="5">
        <f>HLOOKUP('N2O calculations'!$B$6,$B$1:$D$10,A4)</f>
        <v>1.4E-2</v>
      </c>
      <c r="I4" s="5" t="s">
        <v>336</v>
      </c>
      <c r="J4" s="5">
        <v>0.01</v>
      </c>
      <c r="K4" s="105" t="s">
        <v>337</v>
      </c>
      <c r="L4" s="104">
        <v>0.01</v>
      </c>
      <c r="M4" s="5">
        <v>3</v>
      </c>
      <c r="N4" s="5" t="s">
        <v>284</v>
      </c>
      <c r="O4" s="5">
        <v>6.0000000000000001E-3</v>
      </c>
      <c r="P4" s="5">
        <v>8.9999999999999993E-3</v>
      </c>
      <c r="Q4" s="5">
        <v>1.3</v>
      </c>
      <c r="R4" s="5">
        <v>0.23</v>
      </c>
      <c r="S4" s="5">
        <v>0.89</v>
      </c>
      <c r="T4" s="37">
        <v>1</v>
      </c>
      <c r="U4" s="5">
        <f t="shared" si="0"/>
        <v>0.89</v>
      </c>
    </row>
    <row r="5" spans="1:21" x14ac:dyDescent="0.25">
      <c r="A5" s="5">
        <v>5</v>
      </c>
      <c r="B5" s="5" t="s">
        <v>307</v>
      </c>
      <c r="E5" s="5">
        <v>1.0999999999999999E-2</v>
      </c>
      <c r="I5" s="117" t="s">
        <v>206</v>
      </c>
      <c r="J5" s="117">
        <v>0.05</v>
      </c>
      <c r="K5" s="106" t="s">
        <v>338</v>
      </c>
      <c r="L5" s="106">
        <v>0.05</v>
      </c>
      <c r="M5" s="5">
        <v>4</v>
      </c>
      <c r="N5" s="5" t="s">
        <v>285</v>
      </c>
      <c r="O5" s="5">
        <v>6.0000000000000001E-3</v>
      </c>
      <c r="P5" s="5">
        <v>8.9999999999999993E-3</v>
      </c>
      <c r="Q5" s="5">
        <v>1.3</v>
      </c>
      <c r="R5" s="5">
        <v>0.28000000000000003</v>
      </c>
      <c r="S5" s="5">
        <v>0.89</v>
      </c>
      <c r="T5" s="37">
        <v>1</v>
      </c>
      <c r="U5" s="5">
        <f t="shared" si="0"/>
        <v>0.89</v>
      </c>
    </row>
    <row r="6" spans="1:21" x14ac:dyDescent="0.25">
      <c r="A6" s="5">
        <v>6</v>
      </c>
      <c r="I6" s="5" t="s">
        <v>339</v>
      </c>
      <c r="J6" s="5">
        <v>0.05</v>
      </c>
      <c r="K6" s="106" t="s">
        <v>340</v>
      </c>
      <c r="L6" s="106">
        <v>0.11</v>
      </c>
      <c r="M6" s="5">
        <v>5</v>
      </c>
      <c r="N6" s="5" t="s">
        <v>286</v>
      </c>
      <c r="O6" s="5">
        <v>7.0000000000000001E-3</v>
      </c>
      <c r="P6" s="5">
        <v>1.4E-2</v>
      </c>
      <c r="Q6" s="5">
        <v>1.2</v>
      </c>
      <c r="R6" s="5">
        <v>0.22</v>
      </c>
      <c r="S6" s="5">
        <v>0.89</v>
      </c>
      <c r="T6" s="37">
        <v>1</v>
      </c>
      <c r="U6" s="5">
        <f t="shared" si="0"/>
        <v>0.89</v>
      </c>
    </row>
    <row r="7" spans="1:21" x14ac:dyDescent="0.25">
      <c r="A7" s="5">
        <v>7</v>
      </c>
      <c r="I7" s="5" t="s">
        <v>341</v>
      </c>
      <c r="J7" s="5">
        <v>0.21</v>
      </c>
      <c r="M7" s="5">
        <v>6</v>
      </c>
      <c r="N7" s="5" t="s">
        <v>287</v>
      </c>
      <c r="O7" s="5">
        <v>7.0000000000000001E-3</v>
      </c>
      <c r="P7" s="5">
        <v>8.0000000000000002E-3</v>
      </c>
      <c r="Q7" s="5">
        <v>1.3</v>
      </c>
      <c r="R7" s="5">
        <v>0.25</v>
      </c>
      <c r="S7" s="5">
        <v>0.89</v>
      </c>
      <c r="T7" s="37">
        <v>1</v>
      </c>
      <c r="U7" s="5">
        <f t="shared" si="0"/>
        <v>0.89</v>
      </c>
    </row>
    <row r="8" spans="1:21" x14ac:dyDescent="0.25">
      <c r="A8" s="5">
        <v>8</v>
      </c>
      <c r="I8" s="117" t="s">
        <v>165</v>
      </c>
      <c r="J8" s="117">
        <v>0.05</v>
      </c>
      <c r="M8" s="5">
        <v>7</v>
      </c>
      <c r="N8" s="5" t="s">
        <v>288</v>
      </c>
      <c r="O8" s="5">
        <v>6.0000000000000001E-3</v>
      </c>
      <c r="P8" s="5">
        <v>7.0000000000000001E-3</v>
      </c>
      <c r="Q8" s="5">
        <v>1</v>
      </c>
      <c r="R8" s="5">
        <v>0.22</v>
      </c>
      <c r="S8" s="5">
        <v>0.87</v>
      </c>
      <c r="T8" s="37">
        <v>1</v>
      </c>
      <c r="U8" s="5">
        <f t="shared" si="0"/>
        <v>0.87</v>
      </c>
    </row>
    <row r="9" spans="1:21" x14ac:dyDescent="0.25">
      <c r="A9" s="5">
        <v>9</v>
      </c>
      <c r="I9" s="5" t="s">
        <v>342</v>
      </c>
      <c r="J9" s="5">
        <v>0.05</v>
      </c>
      <c r="M9" s="5">
        <v>8</v>
      </c>
      <c r="N9" s="5" t="s">
        <v>289</v>
      </c>
      <c r="O9" s="5">
        <v>5.0000000000000001E-3</v>
      </c>
      <c r="P9" s="5">
        <v>1.0999999999999999E-2</v>
      </c>
      <c r="Q9" s="5">
        <v>1.6</v>
      </c>
      <c r="R9" s="107">
        <f>R2</f>
        <v>0.22</v>
      </c>
      <c r="S9" s="5">
        <v>0.88</v>
      </c>
      <c r="T9" s="37">
        <v>1</v>
      </c>
      <c r="U9" s="5">
        <f t="shared" si="0"/>
        <v>0.88</v>
      </c>
    </row>
    <row r="10" spans="1:21" x14ac:dyDescent="0.25">
      <c r="A10" s="5">
        <v>10</v>
      </c>
      <c r="I10" s="5" t="s">
        <v>343</v>
      </c>
      <c r="J10" s="5">
        <v>0.05</v>
      </c>
      <c r="M10" s="5">
        <v>9</v>
      </c>
      <c r="N10" s="5" t="s">
        <v>290</v>
      </c>
      <c r="O10" s="5">
        <v>7.0000000000000001E-3</v>
      </c>
      <c r="P10" s="107">
        <f>P2</f>
        <v>8.9999999999999993E-3</v>
      </c>
      <c r="Q10" s="5">
        <v>1.4</v>
      </c>
      <c r="R10" s="5">
        <v>0.16</v>
      </c>
      <c r="S10" s="5">
        <v>0.89</v>
      </c>
      <c r="T10" s="37">
        <v>1</v>
      </c>
      <c r="U10" s="5">
        <f t="shared" si="0"/>
        <v>0.89</v>
      </c>
    </row>
    <row r="11" spans="1:21" x14ac:dyDescent="0.25">
      <c r="I11" s="5" t="s">
        <v>344</v>
      </c>
      <c r="J11" s="102">
        <v>0.11</v>
      </c>
      <c r="M11" s="5">
        <v>10</v>
      </c>
      <c r="N11" s="5" t="s">
        <v>291</v>
      </c>
      <c r="O11" s="5">
        <v>7.0000000000000001E-3</v>
      </c>
      <c r="P11" s="107">
        <f>P2</f>
        <v>8.9999999999999993E-3</v>
      </c>
      <c r="Q11" s="5">
        <v>1.4</v>
      </c>
      <c r="R11" s="107">
        <f>R2</f>
        <v>0.22</v>
      </c>
      <c r="S11" s="94">
        <v>0.9</v>
      </c>
      <c r="T11" s="37">
        <v>1</v>
      </c>
      <c r="U11" s="5">
        <f t="shared" si="0"/>
        <v>0.9</v>
      </c>
    </row>
    <row r="12" spans="1:21" x14ac:dyDescent="0.25">
      <c r="I12" s="5" t="s">
        <v>345</v>
      </c>
      <c r="J12" s="102">
        <v>0.08</v>
      </c>
      <c r="M12" s="5">
        <v>11</v>
      </c>
      <c r="N12" s="5" t="s">
        <v>292</v>
      </c>
      <c r="O12" s="5">
        <v>7.0000000000000001E-3</v>
      </c>
      <c r="P12" s="5">
        <v>6.0000000000000001E-3</v>
      </c>
      <c r="Q12" s="5">
        <v>1.4</v>
      </c>
      <c r="R12" s="107">
        <f>R2</f>
        <v>0.22</v>
      </c>
      <c r="S12" s="5">
        <v>0.89</v>
      </c>
      <c r="T12" s="37">
        <v>1</v>
      </c>
      <c r="U12" s="5">
        <f t="shared" si="0"/>
        <v>0.89</v>
      </c>
    </row>
    <row r="13" spans="1:21" x14ac:dyDescent="0.25">
      <c r="I13" s="5" t="s">
        <v>346</v>
      </c>
      <c r="J13" s="5">
        <v>0.11</v>
      </c>
      <c r="M13" s="5">
        <v>12</v>
      </c>
      <c r="N13" s="5" t="s">
        <v>293</v>
      </c>
      <c r="O13" s="5">
        <v>8.0000000000000002E-3</v>
      </c>
      <c r="P13" s="5">
        <v>8.0000000000000002E-3</v>
      </c>
      <c r="Q13" s="5">
        <v>2.1</v>
      </c>
      <c r="R13" s="5">
        <v>0.19</v>
      </c>
      <c r="S13" s="5">
        <v>0.91</v>
      </c>
      <c r="T13" s="37">
        <v>1</v>
      </c>
      <c r="U13" s="5">
        <f t="shared" si="0"/>
        <v>0.91</v>
      </c>
    </row>
    <row r="14" spans="1:21" x14ac:dyDescent="0.25">
      <c r="I14" s="5" t="s">
        <v>347</v>
      </c>
      <c r="J14" s="5">
        <v>0.05</v>
      </c>
      <c r="M14" s="5">
        <v>13</v>
      </c>
      <c r="N14" s="5" t="s">
        <v>294</v>
      </c>
      <c r="O14" s="5">
        <v>8.0000000000000002E-3</v>
      </c>
      <c r="P14" s="5">
        <v>8.0000000000000002E-3</v>
      </c>
      <c r="Q14" s="5">
        <v>2.1</v>
      </c>
      <c r="R14" s="5">
        <v>0.19</v>
      </c>
      <c r="S14" s="5">
        <v>0.91</v>
      </c>
      <c r="T14" s="37">
        <v>1</v>
      </c>
      <c r="U14" s="5">
        <f t="shared" si="0"/>
        <v>0.91</v>
      </c>
    </row>
    <row r="15" spans="1:21" x14ac:dyDescent="0.25">
      <c r="I15" s="5" t="s">
        <v>348</v>
      </c>
      <c r="J15" s="5">
        <v>0.15</v>
      </c>
      <c r="M15" s="5">
        <v>14</v>
      </c>
      <c r="N15" s="5" t="s">
        <v>295</v>
      </c>
      <c r="O15" s="5">
        <v>1.9E-2</v>
      </c>
      <c r="P15" s="5">
        <v>1.4E-2</v>
      </c>
      <c r="Q15" s="5">
        <v>0.4</v>
      </c>
      <c r="R15" s="5">
        <v>0.2</v>
      </c>
      <c r="S15" s="5">
        <v>0.22</v>
      </c>
      <c r="T15" s="37">
        <v>1</v>
      </c>
      <c r="U15" s="5">
        <f t="shared" si="0"/>
        <v>0.22</v>
      </c>
    </row>
    <row r="16" spans="1:21" x14ac:dyDescent="0.25">
      <c r="I16" s="5" t="s">
        <v>349</v>
      </c>
      <c r="J16" s="5">
        <v>0.11</v>
      </c>
      <c r="M16" s="5">
        <v>15</v>
      </c>
      <c r="N16" s="5" t="s">
        <v>296</v>
      </c>
      <c r="O16" s="5">
        <v>1.6E-2</v>
      </c>
      <c r="P16" s="107">
        <f>P2</f>
        <v>8.9999999999999993E-3</v>
      </c>
      <c r="Q16" s="5">
        <v>1</v>
      </c>
      <c r="R16" s="107">
        <f>R2</f>
        <v>0.22</v>
      </c>
      <c r="S16" s="5">
        <v>0.94</v>
      </c>
      <c r="T16" s="37">
        <v>1</v>
      </c>
      <c r="U16" s="5">
        <f t="shared" si="0"/>
        <v>0.94</v>
      </c>
    </row>
    <row r="17" spans="9:21" x14ac:dyDescent="0.25">
      <c r="I17" s="5" t="s">
        <v>350</v>
      </c>
      <c r="J17" s="5">
        <v>0.08</v>
      </c>
      <c r="M17" s="5">
        <v>16</v>
      </c>
      <c r="N17" s="5" t="s">
        <v>297</v>
      </c>
      <c r="O17" s="5">
        <v>2.7E-2</v>
      </c>
      <c r="P17" s="5">
        <v>1.9E-2</v>
      </c>
      <c r="Q17" s="107">
        <f>Q$2</f>
        <v>1</v>
      </c>
      <c r="R17" s="5">
        <v>0.4</v>
      </c>
      <c r="S17" s="5">
        <v>0.9</v>
      </c>
      <c r="T17" s="37">
        <v>1</v>
      </c>
      <c r="U17" s="5">
        <f t="shared" si="0"/>
        <v>0.9</v>
      </c>
    </row>
    <row r="18" spans="9:21" x14ac:dyDescent="0.25">
      <c r="I18" s="5" t="s">
        <v>303</v>
      </c>
      <c r="J18" s="5">
        <v>0.11</v>
      </c>
      <c r="M18" s="5">
        <v>17</v>
      </c>
      <c r="N18" s="5" t="s">
        <v>298</v>
      </c>
      <c r="O18" s="5">
        <v>1.4999999999999999E-2</v>
      </c>
      <c r="P18" s="5">
        <v>1.2E-2</v>
      </c>
      <c r="Q18" s="107">
        <f>Q$2</f>
        <v>1</v>
      </c>
      <c r="R18" s="5">
        <v>0.54</v>
      </c>
      <c r="S18" s="5">
        <v>0.9</v>
      </c>
      <c r="T18" s="37"/>
      <c r="U18" s="5">
        <f t="shared" si="0"/>
        <v>0.9</v>
      </c>
    </row>
    <row r="19" spans="9:21" x14ac:dyDescent="0.25">
      <c r="I19" s="117" t="s">
        <v>252</v>
      </c>
      <c r="J19" s="117">
        <v>0.05</v>
      </c>
      <c r="M19" s="5">
        <v>18</v>
      </c>
      <c r="N19" s="5" t="s">
        <v>299</v>
      </c>
      <c r="O19" s="5">
        <v>2.7E-2</v>
      </c>
      <c r="P19" s="5">
        <v>2.1999999999999999E-2</v>
      </c>
      <c r="Q19" s="5">
        <v>0.3</v>
      </c>
      <c r="R19" s="5">
        <v>0.4</v>
      </c>
      <c r="S19" s="5">
        <v>0.9</v>
      </c>
      <c r="T19" s="37"/>
      <c r="U19" s="5">
        <f t="shared" si="0"/>
        <v>0.9</v>
      </c>
    </row>
    <row r="20" spans="9:21" x14ac:dyDescent="0.25">
      <c r="M20" s="5">
        <v>19</v>
      </c>
      <c r="N20" s="5" t="s">
        <v>300</v>
      </c>
      <c r="O20" s="5">
        <v>1.4999999999999999E-2</v>
      </c>
      <c r="P20" s="5">
        <v>1.2E-2</v>
      </c>
      <c r="Q20" s="5">
        <v>0.3</v>
      </c>
      <c r="R20" s="5">
        <v>0.54</v>
      </c>
      <c r="S20" s="5">
        <v>0.9</v>
      </c>
      <c r="T20" s="37"/>
      <c r="U20" s="5">
        <f t="shared" si="0"/>
        <v>0.9</v>
      </c>
    </row>
    <row r="21" spans="9:21" x14ac:dyDescent="0.25">
      <c r="M21" s="5">
        <v>20</v>
      </c>
      <c r="N21" s="5" t="s">
        <v>301</v>
      </c>
      <c r="O21" s="5">
        <v>1.4999999999999999E-2</v>
      </c>
      <c r="P21" s="5">
        <v>1.2E-2</v>
      </c>
      <c r="Q21" s="5">
        <v>0.3</v>
      </c>
      <c r="R21" s="5">
        <v>0.8</v>
      </c>
      <c r="S21" s="5">
        <v>0.9</v>
      </c>
      <c r="T21" s="37"/>
      <c r="U21" s="5">
        <f t="shared" si="0"/>
        <v>0.9</v>
      </c>
    </row>
    <row r="22" spans="9:21" x14ac:dyDescent="0.25">
      <c r="M22" s="5">
        <v>21</v>
      </c>
      <c r="N22" s="5" t="s">
        <v>302</v>
      </c>
      <c r="O22" s="5">
        <v>2.5000000000000001E-2</v>
      </c>
      <c r="P22" s="5">
        <v>1.6E-2</v>
      </c>
      <c r="Q22" s="5">
        <v>0.3</v>
      </c>
      <c r="R22" s="5">
        <v>0.8</v>
      </c>
      <c r="S22" s="5">
        <v>0.9</v>
      </c>
      <c r="T22" s="37"/>
      <c r="U22" s="5">
        <f t="shared" si="0"/>
        <v>0.9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>
      <selection activeCell="F19" sqref="F19"/>
    </sheetView>
  </sheetViews>
  <sheetFormatPr baseColWidth="10" defaultColWidth="9.140625" defaultRowHeight="15" x14ac:dyDescent="0.25"/>
  <cols>
    <col min="1" max="1" width="18" style="5" customWidth="1"/>
    <col min="2" max="16384" width="9.140625" style="5"/>
  </cols>
  <sheetData>
    <row r="1" spans="1:6" x14ac:dyDescent="0.25">
      <c r="A1" s="5" t="s">
        <v>280</v>
      </c>
      <c r="B1" s="5" t="s">
        <v>351</v>
      </c>
      <c r="E1" s="6"/>
    </row>
    <row r="2" spans="1:6" x14ac:dyDescent="0.25">
      <c r="A2" s="108" t="s">
        <v>352</v>
      </c>
      <c r="B2" s="5">
        <v>12</v>
      </c>
      <c r="C2" s="89"/>
      <c r="D2" s="37"/>
      <c r="E2" s="89"/>
    </row>
    <row r="3" spans="1:6" x14ac:dyDescent="0.25">
      <c r="A3" s="98" t="s">
        <v>353</v>
      </c>
      <c r="B3" s="5">
        <v>12</v>
      </c>
      <c r="C3" s="89"/>
      <c r="E3" s="89"/>
    </row>
    <row r="4" spans="1:6" x14ac:dyDescent="0.25">
      <c r="A4" s="98" t="s">
        <v>354</v>
      </c>
      <c r="B4" s="5">
        <v>5</v>
      </c>
      <c r="E4" s="89"/>
    </row>
    <row r="5" spans="1:6" x14ac:dyDescent="0.25">
      <c r="A5" s="98" t="s">
        <v>355</v>
      </c>
      <c r="B5" s="5">
        <v>5</v>
      </c>
      <c r="E5" s="88"/>
    </row>
    <row r="6" spans="1:6" x14ac:dyDescent="0.25">
      <c r="A6" s="98" t="s">
        <v>356</v>
      </c>
      <c r="B6" s="5">
        <v>6</v>
      </c>
      <c r="E6" s="89"/>
    </row>
    <row r="7" spans="1:6" x14ac:dyDescent="0.25">
      <c r="A7" s="98" t="s">
        <v>357</v>
      </c>
      <c r="B7" s="5">
        <v>1</v>
      </c>
      <c r="E7" s="89"/>
      <c r="F7" s="92"/>
    </row>
    <row r="8" spans="1:6" x14ac:dyDescent="0.25">
      <c r="A8" s="98" t="s">
        <v>248</v>
      </c>
      <c r="B8" s="5">
        <v>3</v>
      </c>
      <c r="E8" s="89"/>
      <c r="F8" s="92"/>
    </row>
    <row r="9" spans="1:6" x14ac:dyDescent="0.25">
      <c r="A9" s="109" t="s">
        <v>358</v>
      </c>
      <c r="B9" s="5">
        <v>13</v>
      </c>
      <c r="C9" s="89"/>
      <c r="E9" s="89"/>
    </row>
    <row r="10" spans="1:6" x14ac:dyDescent="0.25">
      <c r="A10" s="6" t="s">
        <v>288</v>
      </c>
      <c r="B10" s="5">
        <v>7</v>
      </c>
      <c r="C10" s="89"/>
      <c r="E10" s="89"/>
    </row>
    <row r="11" spans="1:6" x14ac:dyDescent="0.25">
      <c r="A11" s="98" t="s">
        <v>247</v>
      </c>
      <c r="B11" s="5">
        <v>1</v>
      </c>
      <c r="E11" s="89"/>
    </row>
    <row r="12" spans="1:6" x14ac:dyDescent="0.25">
      <c r="A12" s="33" t="s">
        <v>359</v>
      </c>
      <c r="B12" s="5">
        <v>12</v>
      </c>
      <c r="E12" s="89"/>
    </row>
    <row r="13" spans="1:6" x14ac:dyDescent="0.25">
      <c r="A13" s="98" t="s">
        <v>360</v>
      </c>
      <c r="B13" s="5">
        <v>12</v>
      </c>
      <c r="E13" s="89"/>
    </row>
    <row r="14" spans="1:6" x14ac:dyDescent="0.25">
      <c r="A14" s="37" t="s">
        <v>250</v>
      </c>
      <c r="B14" s="5">
        <v>13</v>
      </c>
      <c r="E14" s="89"/>
    </row>
    <row r="15" spans="1:6" x14ac:dyDescent="0.25">
      <c r="A15" s="37" t="s">
        <v>151</v>
      </c>
      <c r="B15" s="5">
        <v>7</v>
      </c>
      <c r="E15" s="89"/>
    </row>
    <row r="16" spans="1:6" x14ac:dyDescent="0.25">
      <c r="E16" s="89"/>
    </row>
    <row r="17" spans="2:20" x14ac:dyDescent="0.25">
      <c r="E17" s="89"/>
    </row>
    <row r="24" spans="2:20" x14ac:dyDescent="0.25">
      <c r="B24" s="5">
        <f>B7</f>
        <v>1</v>
      </c>
      <c r="C24" s="5">
        <f t="shared" ref="C24:F24" si="0">C7</f>
        <v>0</v>
      </c>
      <c r="D24" s="5">
        <f t="shared" si="0"/>
        <v>0</v>
      </c>
      <c r="E24" s="5">
        <f t="shared" si="0"/>
        <v>0</v>
      </c>
      <c r="F24" s="5">
        <f t="shared" si="0"/>
        <v>0</v>
      </c>
      <c r="I24" s="5">
        <f>I7</f>
        <v>0</v>
      </c>
      <c r="J24" s="5">
        <f t="shared" ref="J24:M24" si="1">J7</f>
        <v>0</v>
      </c>
      <c r="K24" s="5">
        <f t="shared" si="1"/>
        <v>0</v>
      </c>
      <c r="L24" s="5">
        <f t="shared" si="1"/>
        <v>0</v>
      </c>
      <c r="M24" s="5">
        <f t="shared" si="1"/>
        <v>0</v>
      </c>
      <c r="P24" s="5">
        <f>P7</f>
        <v>0</v>
      </c>
      <c r="Q24" s="5">
        <f t="shared" ref="Q24:T24" si="2">Q7</f>
        <v>0</v>
      </c>
      <c r="R24" s="5">
        <f t="shared" si="2"/>
        <v>0</v>
      </c>
      <c r="S24" s="5">
        <f t="shared" si="2"/>
        <v>0</v>
      </c>
      <c r="T24" s="5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R26" sqref="R26"/>
    </sheetView>
  </sheetViews>
  <sheetFormatPr baseColWidth="10" defaultColWidth="11.42578125" defaultRowHeight="15" x14ac:dyDescent="0.25"/>
  <sheetData>
    <row r="1" spans="1:8" x14ac:dyDescent="0.25">
      <c r="A1" s="58" t="s">
        <v>190</v>
      </c>
      <c r="B1" s="6"/>
      <c r="C1" s="6"/>
      <c r="D1" s="6"/>
      <c r="E1" s="6"/>
      <c r="F1" s="6"/>
      <c r="G1" s="6"/>
      <c r="H1" s="5"/>
    </row>
    <row r="2" spans="1:8" x14ac:dyDescent="0.25">
      <c r="A2" s="5" t="s">
        <v>203</v>
      </c>
      <c r="B2" s="5"/>
      <c r="C2" s="5"/>
      <c r="D2" s="5"/>
      <c r="E2" s="5"/>
      <c r="F2" s="5"/>
      <c r="G2" s="5"/>
      <c r="H2" s="5"/>
    </row>
    <row r="3" spans="1:8" x14ac:dyDescent="0.25">
      <c r="A3" s="5"/>
      <c r="B3" s="5"/>
      <c r="C3" s="5"/>
      <c r="D3" s="5"/>
      <c r="E3" s="5"/>
      <c r="F3" s="5"/>
      <c r="G3" s="5"/>
      <c r="H3" s="5"/>
    </row>
    <row r="4" spans="1:8" x14ac:dyDescent="0.25">
      <c r="A4" s="58" t="s">
        <v>191</v>
      </c>
      <c r="B4" s="6"/>
      <c r="C4" s="6"/>
      <c r="D4" s="6"/>
      <c r="E4" s="6"/>
      <c r="F4" s="6"/>
      <c r="G4" s="6"/>
      <c r="H4" s="5"/>
    </row>
    <row r="5" spans="1:8" x14ac:dyDescent="0.25">
      <c r="A5" s="59" t="s">
        <v>204</v>
      </c>
      <c r="B5" s="5"/>
      <c r="C5" s="5"/>
      <c r="D5" s="5"/>
      <c r="E5" s="5"/>
      <c r="F5" t="s">
        <v>212</v>
      </c>
      <c r="G5" s="5"/>
      <c r="H5" s="5"/>
    </row>
    <row r="6" spans="1:8" x14ac:dyDescent="0.25">
      <c r="A6" s="5"/>
      <c r="B6" s="5"/>
      <c r="C6" s="5"/>
      <c r="D6" s="5"/>
      <c r="E6" s="5"/>
      <c r="F6" s="5"/>
      <c r="G6" s="5"/>
      <c r="H6" s="5"/>
    </row>
    <row r="7" spans="1:8" x14ac:dyDescent="0.25">
      <c r="A7" s="6" t="s">
        <v>192</v>
      </c>
      <c r="B7" s="6"/>
      <c r="C7" s="6"/>
      <c r="D7" s="6"/>
      <c r="E7" s="6"/>
      <c r="F7" s="6"/>
      <c r="G7" s="6"/>
      <c r="H7" s="5"/>
    </row>
    <row r="8" spans="1:8" x14ac:dyDescent="0.25">
      <c r="A8" s="5" t="s">
        <v>193</v>
      </c>
      <c r="B8" s="5"/>
      <c r="C8" s="5"/>
      <c r="D8" s="5"/>
      <c r="E8" s="5"/>
      <c r="F8" s="5"/>
      <c r="G8" s="5"/>
      <c r="H8" s="5"/>
    </row>
    <row r="9" spans="1:8" x14ac:dyDescent="0.25">
      <c r="A9" s="5" t="s">
        <v>194</v>
      </c>
      <c r="B9" s="60" t="s">
        <v>207</v>
      </c>
      <c r="C9" s="5"/>
      <c r="D9" s="5"/>
      <c r="E9" s="5"/>
      <c r="F9" s="5"/>
      <c r="G9" s="5"/>
      <c r="H9" s="5"/>
    </row>
    <row r="10" spans="1:8" x14ac:dyDescent="0.25">
      <c r="A10" s="5"/>
      <c r="B10" s="5" t="s">
        <v>242</v>
      </c>
      <c r="C10" s="5"/>
      <c r="D10" s="5"/>
      <c r="E10" s="5"/>
      <c r="F10" s="5"/>
      <c r="G10" s="5"/>
      <c r="H10" s="5"/>
    </row>
    <row r="11" spans="1:8" x14ac:dyDescent="0.25">
      <c r="A11" s="5"/>
      <c r="B11" s="5"/>
      <c r="C11" s="5"/>
      <c r="D11" s="5"/>
      <c r="E11" s="5"/>
      <c r="F11" s="5"/>
      <c r="G11" s="5"/>
      <c r="H11" s="5"/>
    </row>
    <row r="12" spans="1:8" x14ac:dyDescent="0.25">
      <c r="A12" s="63" t="s">
        <v>195</v>
      </c>
      <c r="B12" s="5"/>
      <c r="C12" s="5"/>
      <c r="D12" s="5"/>
      <c r="E12" s="5"/>
      <c r="F12" s="5"/>
      <c r="G12" s="5"/>
      <c r="H12" s="5"/>
    </row>
    <row r="13" spans="1:8" x14ac:dyDescent="0.25">
      <c r="A13" s="5" t="s">
        <v>196</v>
      </c>
      <c r="B13" s="60" t="s">
        <v>205</v>
      </c>
      <c r="C13" s="5"/>
      <c r="D13" s="5"/>
      <c r="E13" s="5"/>
      <c r="F13" s="5"/>
      <c r="G13" s="5"/>
      <c r="H13" s="5"/>
    </row>
    <row r="14" spans="1:8" x14ac:dyDescent="0.25">
      <c r="A14" s="5"/>
      <c r="B14" s="5" t="s">
        <v>197</v>
      </c>
      <c r="C14" s="5"/>
      <c r="D14" s="5"/>
      <c r="E14" s="5"/>
      <c r="F14" s="5"/>
      <c r="G14" s="5"/>
      <c r="H14" s="5"/>
    </row>
    <row r="15" spans="1:8" x14ac:dyDescent="0.25">
      <c r="A15" s="5"/>
      <c r="B15" s="5"/>
      <c r="C15" s="5"/>
      <c r="D15" s="5"/>
      <c r="E15" s="5"/>
      <c r="F15" s="5"/>
      <c r="G15" s="5"/>
      <c r="H15" s="5"/>
    </row>
    <row r="16" spans="1:8" x14ac:dyDescent="0.25">
      <c r="A16" s="60" t="s">
        <v>198</v>
      </c>
      <c r="B16" s="5"/>
      <c r="C16" s="5"/>
      <c r="D16" s="5"/>
      <c r="E16" s="5"/>
      <c r="F16" s="5"/>
      <c r="G16" s="5"/>
      <c r="H16" s="5"/>
    </row>
    <row r="17" spans="1:8" x14ac:dyDescent="0.25">
      <c r="A17" s="60"/>
      <c r="B17" s="60" t="s">
        <v>199</v>
      </c>
      <c r="C17" s="5"/>
      <c r="D17" s="5"/>
      <c r="E17" s="5"/>
      <c r="F17" s="5"/>
      <c r="G17" s="5"/>
      <c r="H17" s="5"/>
    </row>
    <row r="18" spans="1:8" x14ac:dyDescent="0.25">
      <c r="A18" s="60"/>
      <c r="B18" s="60" t="s">
        <v>200</v>
      </c>
      <c r="C18" s="5"/>
      <c r="D18" s="5"/>
      <c r="E18" s="5"/>
      <c r="F18" s="5"/>
      <c r="G18" s="5"/>
      <c r="H18" s="5"/>
    </row>
    <row r="19" spans="1:8" x14ac:dyDescent="0.25">
      <c r="A19" s="60"/>
      <c r="B19" s="60"/>
      <c r="C19" s="5"/>
      <c r="D19" s="5"/>
      <c r="E19" s="5"/>
      <c r="F19" s="5"/>
      <c r="G19" s="5"/>
      <c r="H19" s="5"/>
    </row>
    <row r="20" spans="1:8" x14ac:dyDescent="0.25">
      <c r="A20" s="6" t="s">
        <v>201</v>
      </c>
      <c r="B20" s="6"/>
      <c r="C20" s="6"/>
      <c r="D20" s="6"/>
      <c r="E20" s="6"/>
      <c r="F20" s="6"/>
      <c r="G20" s="6"/>
      <c r="H20" s="5"/>
    </row>
    <row r="21" spans="1:8" x14ac:dyDescent="0.25">
      <c r="A21" s="5" t="s">
        <v>196</v>
      </c>
      <c r="B21" s="5" t="s">
        <v>202</v>
      </c>
      <c r="C21" s="5"/>
      <c r="D21" s="5"/>
      <c r="E21" s="5"/>
      <c r="F21" s="5"/>
      <c r="G21" s="5"/>
      <c r="H21" s="5"/>
    </row>
  </sheetData>
  <pageMargins left="0.7" right="0.7" top="0.78740157499999996" bottom="0.78740157499999996" header="0.3" footer="0.3"/>
  <pageSetup paperSize="9"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40"/>
  <sheetViews>
    <sheetView topLeftCell="A4" zoomScale="90" zoomScaleNormal="90" workbookViewId="0">
      <selection activeCell="C9" sqref="C9:C10"/>
    </sheetView>
  </sheetViews>
  <sheetFormatPr baseColWidth="10" defaultColWidth="11.42578125" defaultRowHeight="15" x14ac:dyDescent="0.25"/>
  <cols>
    <col min="1" max="1" width="21" customWidth="1"/>
    <col min="2" max="2" width="61.85546875" customWidth="1"/>
    <col min="3" max="3" width="28" customWidth="1"/>
    <col min="4" max="4" width="15.85546875" customWidth="1"/>
    <col min="11" max="11" width="12.28515625" bestFit="1" customWidth="1"/>
  </cols>
  <sheetData>
    <row r="4" spans="1:9" s="5" customFormat="1" x14ac:dyDescent="0.25"/>
    <row r="5" spans="1:9" ht="15" customHeight="1" x14ac:dyDescent="0.25">
      <c r="A5" s="126" t="s">
        <v>57</v>
      </c>
      <c r="B5" s="125" t="s">
        <v>56</v>
      </c>
      <c r="C5" s="128" t="s">
        <v>100</v>
      </c>
      <c r="D5" s="129"/>
      <c r="I5" s="24"/>
    </row>
    <row r="6" spans="1:9" s="5" customFormat="1" ht="18.75" customHeight="1" x14ac:dyDescent="0.25">
      <c r="A6" s="126"/>
      <c r="B6" s="125"/>
      <c r="C6" s="128"/>
      <c r="D6" s="129"/>
      <c r="E6" s="22"/>
      <c r="F6" s="22"/>
    </row>
    <row r="7" spans="1:9" s="5" customFormat="1" ht="18.75" customHeight="1" x14ac:dyDescent="0.25">
      <c r="A7" s="126"/>
      <c r="B7" s="125"/>
      <c r="C7" s="128"/>
      <c r="D7" s="129"/>
      <c r="E7" s="22"/>
      <c r="F7" s="22"/>
    </row>
    <row r="8" spans="1:9" s="5" customFormat="1" ht="18.75" customHeight="1" x14ac:dyDescent="0.25">
      <c r="A8" s="30"/>
      <c r="B8" s="29"/>
      <c r="C8" s="23"/>
      <c r="D8" s="22"/>
      <c r="E8" s="22"/>
      <c r="F8" s="22"/>
    </row>
    <row r="9" spans="1:9" s="5" customFormat="1" ht="18.75" customHeight="1" x14ac:dyDescent="0.25">
      <c r="A9" s="30" t="s">
        <v>58</v>
      </c>
      <c r="B9" s="127" t="s">
        <v>59</v>
      </c>
      <c r="C9" s="130" t="s">
        <v>101</v>
      </c>
      <c r="D9" s="22"/>
      <c r="E9" s="22"/>
      <c r="F9" s="22"/>
    </row>
    <row r="10" spans="1:9" x14ac:dyDescent="0.25">
      <c r="A10" s="5"/>
      <c r="B10" s="127"/>
      <c r="C10" s="130"/>
    </row>
    <row r="11" spans="1:9" s="5" customFormat="1" ht="15" customHeight="1" x14ac:dyDescent="0.25">
      <c r="A11" s="134" t="s">
        <v>0</v>
      </c>
      <c r="B11" s="125" t="s">
        <v>60</v>
      </c>
      <c r="C11" s="135" t="s">
        <v>143</v>
      </c>
    </row>
    <row r="12" spans="1:9" x14ac:dyDescent="0.25">
      <c r="A12" s="134"/>
      <c r="B12" s="125"/>
      <c r="C12" s="135"/>
    </row>
    <row r="13" spans="1:9" s="5" customFormat="1" x14ac:dyDescent="0.25">
      <c r="A13" s="6"/>
    </row>
    <row r="14" spans="1:9" x14ac:dyDescent="0.25">
      <c r="A14" s="7" t="s">
        <v>1</v>
      </c>
      <c r="B14" s="27" t="s">
        <v>74</v>
      </c>
      <c r="C14" t="s">
        <v>142</v>
      </c>
    </row>
    <row r="15" spans="1:9" x14ac:dyDescent="0.25">
      <c r="A15" s="6"/>
      <c r="B15" s="5"/>
    </row>
    <row r="16" spans="1:9" s="5" customFormat="1" x14ac:dyDescent="0.25">
      <c r="A16" s="36" t="s">
        <v>71</v>
      </c>
      <c r="B16" s="5" t="s">
        <v>72</v>
      </c>
      <c r="C16" s="5" t="s">
        <v>181</v>
      </c>
    </row>
    <row r="17" spans="1:14" x14ac:dyDescent="0.25"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31" t="s">
        <v>61</v>
      </c>
      <c r="B18" s="31"/>
      <c r="C18" s="5"/>
      <c r="D18" s="3"/>
      <c r="E18" s="3"/>
      <c r="F18" s="3"/>
      <c r="G18" s="3"/>
      <c r="I18" s="3"/>
      <c r="J18" s="3"/>
      <c r="L18" s="3"/>
      <c r="M18" s="3"/>
      <c r="N18" s="3"/>
    </row>
    <row r="19" spans="1:14" s="5" customFormat="1" x14ac:dyDescent="0.25">
      <c r="A19" s="136" t="s">
        <v>64</v>
      </c>
    </row>
    <row r="20" spans="1:14" ht="15" customHeight="1" x14ac:dyDescent="0.25">
      <c r="A20" s="136"/>
      <c r="B20" s="28" t="s">
        <v>62</v>
      </c>
    </row>
    <row r="21" spans="1:14" x14ac:dyDescent="0.25">
      <c r="A21" s="136"/>
      <c r="B21" s="5"/>
    </row>
    <row r="23" spans="1:14" ht="30" x14ac:dyDescent="0.25">
      <c r="A23" s="25" t="s">
        <v>49</v>
      </c>
      <c r="B23" s="28" t="s">
        <v>75</v>
      </c>
      <c r="C23" s="38"/>
    </row>
    <row r="24" spans="1:14" x14ac:dyDescent="0.25">
      <c r="A24" s="6"/>
      <c r="B24" s="5"/>
    </row>
    <row r="25" spans="1:14" ht="15" customHeight="1" x14ac:dyDescent="0.25">
      <c r="A25" s="133" t="s">
        <v>4</v>
      </c>
      <c r="B25" s="131" t="s">
        <v>63</v>
      </c>
      <c r="C25" s="132"/>
    </row>
    <row r="26" spans="1:14" s="5" customFormat="1" x14ac:dyDescent="0.25">
      <c r="A26" s="133"/>
      <c r="B26" s="131"/>
      <c r="C26" s="132"/>
    </row>
    <row r="27" spans="1:14" x14ac:dyDescent="0.25">
      <c r="A27" s="133"/>
      <c r="B27" s="131"/>
      <c r="C27" s="132"/>
    </row>
    <row r="28" spans="1:14" s="5" customFormat="1" x14ac:dyDescent="0.25">
      <c r="A28" s="6"/>
      <c r="B28" s="26"/>
      <c r="C28" s="4"/>
    </row>
    <row r="29" spans="1:14" ht="30" x14ac:dyDescent="0.25">
      <c r="A29" s="25" t="s">
        <v>50</v>
      </c>
      <c r="B29" s="5" t="s">
        <v>76</v>
      </c>
    </row>
    <row r="30" spans="1:14" x14ac:dyDescent="0.25">
      <c r="A30" s="6"/>
      <c r="B30" s="5"/>
    </row>
    <row r="31" spans="1:14" x14ac:dyDescent="0.25">
      <c r="A31" s="7" t="s">
        <v>51</v>
      </c>
      <c r="B31" s="5" t="s">
        <v>77</v>
      </c>
      <c r="C31" t="s">
        <v>144</v>
      </c>
    </row>
    <row r="32" spans="1:14" x14ac:dyDescent="0.25">
      <c r="A32" s="6"/>
      <c r="B32" s="5"/>
    </row>
    <row r="33" spans="1:3" ht="30" x14ac:dyDescent="0.25">
      <c r="A33" s="25" t="s">
        <v>52</v>
      </c>
      <c r="B33" s="5" t="s">
        <v>78</v>
      </c>
    </row>
    <row r="34" spans="1:3" x14ac:dyDescent="0.25">
      <c r="A34" s="25"/>
      <c r="B34" s="5"/>
    </row>
    <row r="35" spans="1:3" ht="45" x14ac:dyDescent="0.25">
      <c r="A35" s="25" t="s">
        <v>53</v>
      </c>
      <c r="B35" s="3" t="s">
        <v>79</v>
      </c>
    </row>
    <row r="36" spans="1:3" x14ac:dyDescent="0.25">
      <c r="A36" s="25"/>
      <c r="B36" s="5"/>
    </row>
    <row r="37" spans="1:3" ht="30" x14ac:dyDescent="0.25">
      <c r="A37" s="25" t="s">
        <v>55</v>
      </c>
      <c r="B37" s="5" t="s">
        <v>80</v>
      </c>
      <c r="C37" s="28">
        <v>421</v>
      </c>
    </row>
    <row r="38" spans="1:3" x14ac:dyDescent="0.25">
      <c r="A38" s="25"/>
      <c r="B38" s="5"/>
      <c r="C38" s="28"/>
    </row>
    <row r="39" spans="1:3" ht="30" x14ac:dyDescent="0.25">
      <c r="A39" s="25" t="s">
        <v>54</v>
      </c>
      <c r="B39" s="37" t="s">
        <v>81</v>
      </c>
      <c r="C39" s="28">
        <v>222.6</v>
      </c>
    </row>
    <row r="40" spans="1:3" x14ac:dyDescent="0.25">
      <c r="C40" s="28"/>
    </row>
  </sheetData>
  <mergeCells count="13">
    <mergeCell ref="B25:B27"/>
    <mergeCell ref="C25:C27"/>
    <mergeCell ref="A25:A27"/>
    <mergeCell ref="B11:B12"/>
    <mergeCell ref="A11:A12"/>
    <mergeCell ref="C11:C12"/>
    <mergeCell ref="A19:A21"/>
    <mergeCell ref="B5:B7"/>
    <mergeCell ref="A5:A7"/>
    <mergeCell ref="B9:B10"/>
    <mergeCell ref="C5:C7"/>
    <mergeCell ref="D5:D7"/>
    <mergeCell ref="C9:C10"/>
  </mergeCells>
  <pageMargins left="0.7" right="0.7" top="0.78740157499999996" bottom="0.78740157499999996" header="0.3" footer="0.3"/>
  <pageSetup paperSize="9" orientation="portrait" horizontalDpi="4294967294" vertic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zoomScale="60" zoomScaleNormal="60" workbookViewId="0">
      <pane xSplit="3" topLeftCell="J1" activePane="topRight" state="frozen"/>
      <selection pane="topRight" activeCell="Q59" sqref="Q59"/>
    </sheetView>
  </sheetViews>
  <sheetFormatPr baseColWidth="10" defaultColWidth="11.42578125" defaultRowHeight="15" x14ac:dyDescent="0.25"/>
  <cols>
    <col min="1" max="1" width="11.42578125" style="5"/>
    <col min="2" max="2" width="44.140625" style="5" customWidth="1"/>
    <col min="3" max="3" width="69.42578125" style="5" customWidth="1"/>
    <col min="4" max="4" width="39.5703125" style="5" customWidth="1"/>
    <col min="5" max="5" width="33.28515625" style="5" customWidth="1"/>
    <col min="6" max="6" width="11.42578125" style="5"/>
    <col min="7" max="7" width="32.5703125" style="5" customWidth="1"/>
    <col min="8" max="8" width="49.140625" style="5" customWidth="1"/>
    <col min="9" max="9" width="71.85546875" style="5" customWidth="1"/>
    <col min="10" max="10" width="37.140625" style="5" customWidth="1"/>
    <col min="11" max="11" width="45" style="5" customWidth="1"/>
    <col min="12" max="12" width="35.7109375" style="5" customWidth="1"/>
    <col min="13" max="13" width="5.140625" style="5" customWidth="1"/>
    <col min="14" max="14" width="27.42578125" style="5" customWidth="1"/>
    <col min="15" max="15" width="31.42578125" style="5" customWidth="1"/>
    <col min="16" max="16" width="38.85546875" style="5" customWidth="1"/>
    <col min="17" max="17" width="55.5703125" style="5" customWidth="1"/>
    <col min="18" max="18" width="25.5703125" style="5" customWidth="1"/>
    <col min="19" max="19" width="49.5703125" style="5" customWidth="1"/>
    <col min="20" max="20" width="28.42578125" style="5" customWidth="1"/>
    <col min="21" max="21" width="37.5703125" style="5" customWidth="1"/>
    <col min="22" max="16384" width="11.42578125" style="5"/>
  </cols>
  <sheetData>
    <row r="1" spans="1:21" ht="15.75" thickBot="1" x14ac:dyDescent="0.3"/>
    <row r="2" spans="1:21" ht="15.75" thickBot="1" x14ac:dyDescent="0.3">
      <c r="A2" s="18"/>
      <c r="B2" s="19" t="s">
        <v>39</v>
      </c>
      <c r="C2" s="19" t="s">
        <v>40</v>
      </c>
      <c r="D2" s="270" t="s">
        <v>47</v>
      </c>
      <c r="E2" s="269"/>
      <c r="F2" s="269"/>
      <c r="G2" s="269"/>
      <c r="H2" s="269"/>
      <c r="I2" s="269"/>
      <c r="J2" s="271" t="s">
        <v>48</v>
      </c>
      <c r="K2" s="272"/>
      <c r="L2" s="272"/>
      <c r="M2" s="272"/>
      <c r="N2" s="272"/>
      <c r="O2" s="273"/>
      <c r="P2" s="268" t="s">
        <v>158</v>
      </c>
      <c r="Q2" s="269"/>
      <c r="R2" s="269"/>
      <c r="S2" s="269"/>
      <c r="T2" s="269"/>
      <c r="U2" s="269"/>
    </row>
    <row r="3" spans="1:21" ht="15" customHeight="1" x14ac:dyDescent="0.25">
      <c r="A3" s="274" t="s">
        <v>38</v>
      </c>
      <c r="B3" s="277" t="s">
        <v>37</v>
      </c>
      <c r="C3" s="39" t="s">
        <v>2</v>
      </c>
      <c r="D3" s="280" t="s">
        <v>164</v>
      </c>
      <c r="E3" s="281"/>
      <c r="F3" s="281"/>
      <c r="G3" s="281"/>
      <c r="H3" s="281"/>
      <c r="I3" s="281"/>
      <c r="J3" s="282" t="s">
        <v>109</v>
      </c>
      <c r="K3" s="283"/>
      <c r="L3" s="283"/>
      <c r="M3" s="283"/>
      <c r="N3" s="283"/>
      <c r="O3" s="284"/>
      <c r="P3" s="280" t="s">
        <v>151</v>
      </c>
      <c r="Q3" s="281"/>
      <c r="R3" s="281"/>
      <c r="S3" s="281"/>
      <c r="T3" s="281"/>
      <c r="U3" s="281"/>
    </row>
    <row r="4" spans="1:21" x14ac:dyDescent="0.25">
      <c r="A4" s="275"/>
      <c r="B4" s="278"/>
      <c r="C4" s="40" t="s">
        <v>3</v>
      </c>
      <c r="D4" s="285" t="s">
        <v>170</v>
      </c>
      <c r="E4" s="286"/>
      <c r="F4" s="286"/>
      <c r="G4" s="286"/>
      <c r="H4" s="286"/>
      <c r="I4" s="286"/>
      <c r="J4" s="258" t="s">
        <v>126</v>
      </c>
      <c r="K4" s="259"/>
      <c r="L4" s="259"/>
      <c r="M4" s="259"/>
      <c r="N4" s="259"/>
      <c r="O4" s="260"/>
      <c r="P4" s="285" t="s">
        <v>103</v>
      </c>
      <c r="Q4" s="286"/>
      <c r="R4" s="286"/>
      <c r="S4" s="286"/>
      <c r="T4" s="286"/>
      <c r="U4" s="286"/>
    </row>
    <row r="5" spans="1:21" x14ac:dyDescent="0.25">
      <c r="A5" s="275"/>
      <c r="B5" s="278"/>
      <c r="C5" s="56" t="s">
        <v>98</v>
      </c>
      <c r="D5" s="261" t="s">
        <v>127</v>
      </c>
      <c r="E5" s="261"/>
      <c r="F5" s="261"/>
      <c r="G5" s="261"/>
      <c r="H5" s="261"/>
      <c r="I5" s="261"/>
      <c r="J5" s="262" t="s">
        <v>127</v>
      </c>
      <c r="K5" s="263"/>
      <c r="L5" s="263"/>
      <c r="M5" s="263"/>
      <c r="N5" s="263"/>
      <c r="O5" s="264"/>
      <c r="P5" s="261" t="s">
        <v>104</v>
      </c>
      <c r="Q5" s="261"/>
      <c r="R5" s="261"/>
      <c r="S5" s="261"/>
      <c r="T5" s="261"/>
      <c r="U5" s="261"/>
    </row>
    <row r="6" spans="1:21" ht="15.75" thickBot="1" x14ac:dyDescent="0.3">
      <c r="A6" s="276"/>
      <c r="B6" s="279"/>
      <c r="C6" s="49" t="s">
        <v>65</v>
      </c>
      <c r="D6" s="265" t="s">
        <v>105</v>
      </c>
      <c r="E6" s="266"/>
      <c r="F6" s="266"/>
      <c r="G6" s="266"/>
      <c r="H6" s="266"/>
      <c r="I6" s="267"/>
      <c r="J6" s="265" t="s">
        <v>105</v>
      </c>
      <c r="K6" s="266"/>
      <c r="L6" s="266"/>
      <c r="M6" s="266"/>
      <c r="N6" s="266"/>
      <c r="O6" s="267"/>
      <c r="P6" s="265" t="s">
        <v>105</v>
      </c>
      <c r="Q6" s="266"/>
      <c r="R6" s="266"/>
      <c r="S6" s="266"/>
      <c r="T6" s="266"/>
      <c r="U6" s="267"/>
    </row>
    <row r="7" spans="1:21" ht="15.75" thickBot="1" x14ac:dyDescent="0.3">
      <c r="A7" s="9"/>
      <c r="B7" s="11"/>
      <c r="C7" s="48"/>
      <c r="D7" s="147"/>
      <c r="E7" s="148"/>
      <c r="F7" s="148"/>
      <c r="G7" s="148"/>
      <c r="H7" s="148"/>
      <c r="I7" s="148"/>
      <c r="J7" s="147"/>
      <c r="K7" s="148"/>
      <c r="L7" s="148"/>
      <c r="M7" s="148"/>
      <c r="N7" s="148"/>
      <c r="O7" s="148"/>
      <c r="P7" s="147"/>
      <c r="Q7" s="148"/>
      <c r="R7" s="148"/>
      <c r="S7" s="148"/>
      <c r="T7" s="148"/>
      <c r="U7" s="148"/>
    </row>
    <row r="8" spans="1:21" ht="15" customHeight="1" thickBot="1" x14ac:dyDescent="0.3">
      <c r="A8" s="254" t="s">
        <v>36</v>
      </c>
      <c r="B8" s="255" t="s">
        <v>92</v>
      </c>
      <c r="C8" s="46" t="s">
        <v>5</v>
      </c>
      <c r="D8" s="256" t="s">
        <v>213</v>
      </c>
      <c r="E8" s="257"/>
      <c r="F8" s="257"/>
      <c r="G8" s="257"/>
      <c r="H8" s="257"/>
      <c r="I8" s="257"/>
      <c r="J8" s="256" t="s">
        <v>214</v>
      </c>
      <c r="K8" s="257"/>
      <c r="L8" s="257"/>
      <c r="M8" s="257"/>
      <c r="N8" s="257"/>
      <c r="O8" s="257"/>
      <c r="P8" s="256" t="s">
        <v>215</v>
      </c>
      <c r="Q8" s="257"/>
      <c r="R8" s="257"/>
      <c r="S8" s="257"/>
      <c r="T8" s="257"/>
      <c r="U8" s="257"/>
    </row>
    <row r="9" spans="1:21" ht="15.75" thickBot="1" x14ac:dyDescent="0.3">
      <c r="A9" s="254"/>
      <c r="B9" s="255"/>
      <c r="C9" s="12" t="s">
        <v>6</v>
      </c>
      <c r="D9" s="256" t="s">
        <v>213</v>
      </c>
      <c r="E9" s="257"/>
      <c r="F9" s="257"/>
      <c r="G9" s="257"/>
      <c r="H9" s="257"/>
      <c r="I9" s="257"/>
      <c r="J9" s="256" t="s">
        <v>214</v>
      </c>
      <c r="K9" s="257"/>
      <c r="L9" s="257"/>
      <c r="M9" s="257"/>
      <c r="N9" s="257"/>
      <c r="O9" s="257"/>
      <c r="P9" s="256" t="s">
        <v>215</v>
      </c>
      <c r="Q9" s="257"/>
      <c r="R9" s="257"/>
      <c r="S9" s="257"/>
      <c r="T9" s="257"/>
      <c r="U9" s="257"/>
    </row>
    <row r="10" spans="1:21" ht="15.75" thickBot="1" x14ac:dyDescent="0.3">
      <c r="A10" s="254"/>
      <c r="B10" s="255"/>
      <c r="C10" s="47" t="s">
        <v>7</v>
      </c>
      <c r="D10" s="256" t="s">
        <v>216</v>
      </c>
      <c r="E10" s="257"/>
      <c r="F10" s="257"/>
      <c r="G10" s="257"/>
      <c r="H10" s="257"/>
      <c r="I10" s="257"/>
      <c r="J10" s="256" t="s">
        <v>217</v>
      </c>
      <c r="K10" s="257"/>
      <c r="L10" s="257"/>
      <c r="M10" s="257"/>
      <c r="N10" s="257"/>
      <c r="O10" s="257"/>
      <c r="P10" s="256" t="s">
        <v>216</v>
      </c>
      <c r="Q10" s="257"/>
      <c r="R10" s="257"/>
      <c r="S10" s="257"/>
      <c r="T10" s="257"/>
      <c r="U10" s="257"/>
    </row>
    <row r="11" spans="1:21" ht="15.75" thickBot="1" x14ac:dyDescent="0.3">
      <c r="A11" s="10"/>
      <c r="B11" s="13"/>
      <c r="C11" s="13"/>
      <c r="D11" s="145"/>
      <c r="E11" s="146"/>
      <c r="F11" s="146"/>
      <c r="G11" s="146"/>
      <c r="H11" s="146"/>
      <c r="I11" s="146"/>
      <c r="J11" s="147"/>
      <c r="K11" s="148"/>
      <c r="L11" s="148"/>
      <c r="M11" s="148"/>
      <c r="N11" s="148"/>
      <c r="O11" s="148"/>
      <c r="P11" s="145"/>
      <c r="Q11" s="146"/>
      <c r="R11" s="146"/>
      <c r="S11" s="146"/>
      <c r="T11" s="146"/>
      <c r="U11" s="146"/>
    </row>
    <row r="12" spans="1:21" ht="15" customHeight="1" x14ac:dyDescent="0.25">
      <c r="A12" s="242" t="s">
        <v>8</v>
      </c>
      <c r="B12" s="245" t="s">
        <v>93</v>
      </c>
      <c r="C12" s="44" t="s">
        <v>66</v>
      </c>
      <c r="D12" s="248" t="s">
        <v>171</v>
      </c>
      <c r="E12" s="249"/>
      <c r="F12" s="249"/>
      <c r="G12" s="249"/>
      <c r="H12" s="249"/>
      <c r="I12" s="249"/>
      <c r="J12" s="250" t="s">
        <v>168</v>
      </c>
      <c r="K12" s="221"/>
      <c r="L12" s="221"/>
      <c r="M12" s="221"/>
      <c r="N12" s="221"/>
      <c r="O12" s="222"/>
      <c r="P12" s="248" t="s">
        <v>176</v>
      </c>
      <c r="Q12" s="249"/>
      <c r="R12" s="249"/>
      <c r="S12" s="249"/>
      <c r="T12" s="249"/>
      <c r="U12" s="249"/>
    </row>
    <row r="13" spans="1:21" x14ac:dyDescent="0.25">
      <c r="A13" s="243"/>
      <c r="B13" s="246"/>
      <c r="C13" s="14" t="s">
        <v>73</v>
      </c>
      <c r="D13" s="251" t="s">
        <v>172</v>
      </c>
      <c r="E13" s="200"/>
      <c r="F13" s="200"/>
      <c r="G13" s="200"/>
      <c r="H13" s="200"/>
      <c r="I13" s="200"/>
      <c r="J13" s="252" t="s">
        <v>129</v>
      </c>
      <c r="K13" s="198"/>
      <c r="L13" s="198"/>
      <c r="M13" s="198"/>
      <c r="N13" s="198"/>
      <c r="O13" s="199"/>
      <c r="P13" s="251" t="s">
        <v>177</v>
      </c>
      <c r="Q13" s="200"/>
      <c r="R13" s="200"/>
      <c r="S13" s="200"/>
      <c r="T13" s="200"/>
      <c r="U13" s="200"/>
    </row>
    <row r="14" spans="1:21" ht="15.75" thickBot="1" x14ac:dyDescent="0.3">
      <c r="A14" s="244"/>
      <c r="B14" s="247"/>
      <c r="C14" s="45" t="s">
        <v>10</v>
      </c>
      <c r="D14" s="253" t="s">
        <v>218</v>
      </c>
      <c r="E14" s="196"/>
      <c r="F14" s="196"/>
      <c r="G14" s="196"/>
      <c r="H14" s="196"/>
      <c r="I14" s="196"/>
      <c r="J14" s="238" t="s">
        <v>219</v>
      </c>
      <c r="K14" s="194"/>
      <c r="L14" s="194"/>
      <c r="M14" s="194"/>
      <c r="N14" s="194"/>
      <c r="O14" s="195"/>
      <c r="P14" s="253" t="s">
        <v>218</v>
      </c>
      <c r="Q14" s="196"/>
      <c r="R14" s="196"/>
      <c r="S14" s="196"/>
      <c r="T14" s="196"/>
      <c r="U14" s="196"/>
    </row>
    <row r="15" spans="1:21" ht="15.75" thickBot="1" x14ac:dyDescent="0.3">
      <c r="A15" s="10"/>
      <c r="B15" s="13"/>
      <c r="C15" s="13"/>
      <c r="D15" s="145"/>
      <c r="E15" s="146"/>
      <c r="F15" s="146"/>
      <c r="G15" s="146"/>
      <c r="H15" s="146"/>
      <c r="I15" s="146"/>
      <c r="J15" s="147"/>
      <c r="K15" s="148"/>
      <c r="L15" s="148"/>
      <c r="M15" s="148"/>
      <c r="N15" s="148"/>
      <c r="O15" s="148"/>
      <c r="P15" s="145"/>
      <c r="Q15" s="146"/>
      <c r="R15" s="146"/>
      <c r="S15" s="146"/>
      <c r="T15" s="146"/>
      <c r="U15" s="146"/>
    </row>
    <row r="16" spans="1:21" ht="15.75" customHeight="1" thickBot="1" x14ac:dyDescent="0.3">
      <c r="A16" s="239" t="s">
        <v>11</v>
      </c>
      <c r="B16" s="215" t="s">
        <v>94</v>
      </c>
      <c r="C16" s="43" t="s">
        <v>89</v>
      </c>
      <c r="D16" s="64" t="s">
        <v>32</v>
      </c>
      <c r="E16" s="65" t="s">
        <v>70</v>
      </c>
      <c r="F16" s="214" t="s">
        <v>20</v>
      </c>
      <c r="G16" s="212"/>
      <c r="H16" s="66" t="s">
        <v>91</v>
      </c>
      <c r="I16" s="66" t="s">
        <v>23</v>
      </c>
      <c r="J16" s="64" t="s">
        <v>32</v>
      </c>
      <c r="K16" s="65" t="s">
        <v>70</v>
      </c>
      <c r="L16" s="214" t="s">
        <v>20</v>
      </c>
      <c r="M16" s="212"/>
      <c r="N16" s="66" t="s">
        <v>91</v>
      </c>
      <c r="O16" s="66" t="s">
        <v>23</v>
      </c>
      <c r="P16" s="64" t="s">
        <v>32</v>
      </c>
      <c r="Q16" s="66" t="s">
        <v>70</v>
      </c>
      <c r="R16" s="214" t="s">
        <v>20</v>
      </c>
      <c r="S16" s="212"/>
      <c r="T16" s="66" t="s">
        <v>91</v>
      </c>
      <c r="U16" s="66" t="s">
        <v>23</v>
      </c>
    </row>
    <row r="17" spans="1:21" ht="15" customHeight="1" x14ac:dyDescent="0.25">
      <c r="A17" s="240"/>
      <c r="B17" s="216"/>
      <c r="C17" s="41" t="s">
        <v>12</v>
      </c>
      <c r="D17" s="67" t="s">
        <v>105</v>
      </c>
      <c r="E17" s="68" t="s">
        <v>105</v>
      </c>
      <c r="F17" s="223" t="s">
        <v>105</v>
      </c>
      <c r="G17" s="224"/>
      <c r="H17" s="69" t="s">
        <v>105</v>
      </c>
      <c r="I17" s="69" t="s">
        <v>105</v>
      </c>
      <c r="J17" s="67" t="s">
        <v>134</v>
      </c>
      <c r="K17" s="68" t="s">
        <v>132</v>
      </c>
      <c r="L17" s="157" t="s">
        <v>133</v>
      </c>
      <c r="M17" s="155"/>
      <c r="N17" s="69" t="s">
        <v>131</v>
      </c>
      <c r="O17" s="69" t="s">
        <v>220</v>
      </c>
      <c r="P17" s="67" t="s">
        <v>153</v>
      </c>
      <c r="Q17" s="68" t="s">
        <v>154</v>
      </c>
      <c r="R17" s="223" t="s">
        <v>159</v>
      </c>
      <c r="S17" s="224"/>
      <c r="T17" s="69">
        <v>200</v>
      </c>
      <c r="U17" s="69" t="s">
        <v>183</v>
      </c>
    </row>
    <row r="18" spans="1:21" x14ac:dyDescent="0.25">
      <c r="A18" s="240"/>
      <c r="B18" s="216"/>
      <c r="C18" s="15" t="s">
        <v>13</v>
      </c>
      <c r="D18" s="67" t="s">
        <v>105</v>
      </c>
      <c r="E18" s="68" t="s">
        <v>105</v>
      </c>
      <c r="F18" s="223" t="s">
        <v>105</v>
      </c>
      <c r="G18" s="224"/>
      <c r="H18" s="69" t="s">
        <v>105</v>
      </c>
      <c r="I18" s="69" t="s">
        <v>105</v>
      </c>
      <c r="J18" s="67" t="s">
        <v>105</v>
      </c>
      <c r="K18" s="68" t="s">
        <v>105</v>
      </c>
      <c r="L18" s="141" t="s">
        <v>105</v>
      </c>
      <c r="M18" s="143"/>
      <c r="N18" s="69" t="s">
        <v>105</v>
      </c>
      <c r="O18" s="69" t="s">
        <v>105</v>
      </c>
      <c r="P18" s="67" t="s">
        <v>105</v>
      </c>
      <c r="Q18" s="68" t="s">
        <v>105</v>
      </c>
      <c r="R18" s="223" t="s">
        <v>105</v>
      </c>
      <c r="S18" s="224"/>
      <c r="T18" s="69" t="s">
        <v>105</v>
      </c>
      <c r="U18" s="69" t="s">
        <v>105</v>
      </c>
    </row>
    <row r="19" spans="1:21" x14ac:dyDescent="0.25">
      <c r="A19" s="240"/>
      <c r="B19" s="216"/>
      <c r="C19" s="15" t="s">
        <v>14</v>
      </c>
      <c r="D19" s="67" t="s">
        <v>105</v>
      </c>
      <c r="E19" s="68" t="s">
        <v>105</v>
      </c>
      <c r="F19" s="223" t="s">
        <v>105</v>
      </c>
      <c r="G19" s="224"/>
      <c r="H19" s="69" t="s">
        <v>105</v>
      </c>
      <c r="I19" s="69" t="s">
        <v>105</v>
      </c>
      <c r="J19" s="67" t="s">
        <v>105</v>
      </c>
      <c r="K19" s="68" t="s">
        <v>105</v>
      </c>
      <c r="L19" s="141" t="s">
        <v>105</v>
      </c>
      <c r="M19" s="143"/>
      <c r="N19" s="69" t="s">
        <v>105</v>
      </c>
      <c r="O19" s="69" t="s">
        <v>105</v>
      </c>
      <c r="P19" s="67" t="s">
        <v>105</v>
      </c>
      <c r="Q19" s="68" t="s">
        <v>105</v>
      </c>
      <c r="R19" s="223" t="s">
        <v>105</v>
      </c>
      <c r="S19" s="224"/>
      <c r="T19" s="69" t="s">
        <v>105</v>
      </c>
      <c r="U19" s="69" t="s">
        <v>105</v>
      </c>
    </row>
    <row r="20" spans="1:21" x14ac:dyDescent="0.25">
      <c r="A20" s="240"/>
      <c r="B20" s="216"/>
      <c r="C20" s="15" t="s">
        <v>15</v>
      </c>
      <c r="D20" s="67" t="s">
        <v>165</v>
      </c>
      <c r="E20" s="70">
        <v>0.63559027777777777</v>
      </c>
      <c r="F20" s="223" t="s">
        <v>105</v>
      </c>
      <c r="G20" s="224"/>
      <c r="H20" s="69">
        <v>200</v>
      </c>
      <c r="I20" s="69" t="s">
        <v>221</v>
      </c>
      <c r="J20" s="67" t="s">
        <v>105</v>
      </c>
      <c r="K20" s="68" t="s">
        <v>105</v>
      </c>
      <c r="L20" s="141" t="s">
        <v>105</v>
      </c>
      <c r="M20" s="143"/>
      <c r="N20" s="69" t="s">
        <v>105</v>
      </c>
      <c r="O20" s="69" t="s">
        <v>105</v>
      </c>
      <c r="P20" s="71" t="s">
        <v>106</v>
      </c>
      <c r="Q20" s="70">
        <v>0.63559027777777777</v>
      </c>
      <c r="R20" s="223" t="s">
        <v>112</v>
      </c>
      <c r="S20" s="224"/>
      <c r="T20" s="62">
        <v>250</v>
      </c>
      <c r="U20" s="69" t="s">
        <v>221</v>
      </c>
    </row>
    <row r="21" spans="1:21" x14ac:dyDescent="0.25">
      <c r="A21" s="240"/>
      <c r="B21" s="216"/>
      <c r="C21" s="15" t="s">
        <v>16</v>
      </c>
      <c r="D21" s="67" t="s">
        <v>105</v>
      </c>
      <c r="E21" s="68" t="s">
        <v>105</v>
      </c>
      <c r="F21" s="223" t="s">
        <v>105</v>
      </c>
      <c r="G21" s="224"/>
      <c r="H21" s="69" t="s">
        <v>105</v>
      </c>
      <c r="I21" s="69" t="s">
        <v>105</v>
      </c>
      <c r="J21" s="67" t="s">
        <v>105</v>
      </c>
      <c r="K21" s="68" t="s">
        <v>105</v>
      </c>
      <c r="L21" s="141" t="s">
        <v>105</v>
      </c>
      <c r="M21" s="143"/>
      <c r="N21" s="69" t="s">
        <v>105</v>
      </c>
      <c r="O21" s="69" t="s">
        <v>105</v>
      </c>
      <c r="P21" s="67" t="s">
        <v>105</v>
      </c>
      <c r="Q21" s="68" t="s">
        <v>105</v>
      </c>
      <c r="R21" s="223" t="s">
        <v>105</v>
      </c>
      <c r="S21" s="224"/>
      <c r="T21" s="69" t="s">
        <v>105</v>
      </c>
      <c r="U21" s="69" t="s">
        <v>105</v>
      </c>
    </row>
    <row r="22" spans="1:21" x14ac:dyDescent="0.25">
      <c r="A22" s="240"/>
      <c r="B22" s="216"/>
      <c r="C22" s="15" t="s">
        <v>17</v>
      </c>
      <c r="D22" s="67" t="s">
        <v>105</v>
      </c>
      <c r="E22" s="68" t="s">
        <v>105</v>
      </c>
      <c r="F22" s="223" t="s">
        <v>105</v>
      </c>
      <c r="G22" s="224"/>
      <c r="H22" s="69" t="s">
        <v>105</v>
      </c>
      <c r="I22" s="69" t="s">
        <v>105</v>
      </c>
      <c r="J22" s="67" t="s">
        <v>105</v>
      </c>
      <c r="K22" s="68" t="s">
        <v>105</v>
      </c>
      <c r="L22" s="141" t="s">
        <v>105</v>
      </c>
      <c r="M22" s="143"/>
      <c r="N22" s="69" t="s">
        <v>105</v>
      </c>
      <c r="O22" s="69" t="s">
        <v>105</v>
      </c>
      <c r="P22" s="67" t="s">
        <v>105</v>
      </c>
      <c r="Q22" s="68" t="s">
        <v>105</v>
      </c>
      <c r="R22" s="223" t="s">
        <v>105</v>
      </c>
      <c r="S22" s="224"/>
      <c r="T22" s="69" t="s">
        <v>105</v>
      </c>
      <c r="U22" s="69" t="s">
        <v>105</v>
      </c>
    </row>
    <row r="23" spans="1:21" ht="15.75" thickBot="1" x14ac:dyDescent="0.3">
      <c r="A23" s="240"/>
      <c r="B23" s="216"/>
      <c r="C23" s="32" t="s">
        <v>130</v>
      </c>
      <c r="D23" s="72" t="s">
        <v>105</v>
      </c>
      <c r="E23" s="73" t="s">
        <v>105</v>
      </c>
      <c r="F23" s="236" t="s">
        <v>105</v>
      </c>
      <c r="G23" s="237"/>
      <c r="H23" s="74" t="s">
        <v>105</v>
      </c>
      <c r="I23" s="74" t="s">
        <v>105</v>
      </c>
      <c r="J23" s="72" t="s">
        <v>135</v>
      </c>
      <c r="K23" s="73">
        <v>0.53611111111111109</v>
      </c>
      <c r="L23" s="236" t="s">
        <v>208</v>
      </c>
      <c r="M23" s="237"/>
      <c r="N23" s="74" t="s">
        <v>131</v>
      </c>
      <c r="O23" s="69" t="s">
        <v>222</v>
      </c>
      <c r="P23" s="67" t="s">
        <v>105</v>
      </c>
      <c r="Q23" s="68" t="s">
        <v>105</v>
      </c>
      <c r="R23" s="223" t="s">
        <v>105</v>
      </c>
      <c r="S23" s="224"/>
      <c r="T23" s="69" t="s">
        <v>105</v>
      </c>
      <c r="U23" s="69" t="s">
        <v>105</v>
      </c>
    </row>
    <row r="24" spans="1:21" ht="18" thickBot="1" x14ac:dyDescent="0.3">
      <c r="A24" s="240"/>
      <c r="B24" s="216"/>
      <c r="C24" s="43" t="s">
        <v>87</v>
      </c>
      <c r="D24" s="64" t="s">
        <v>32</v>
      </c>
      <c r="E24" s="66" t="s">
        <v>88</v>
      </c>
      <c r="F24" s="214" t="s">
        <v>20</v>
      </c>
      <c r="G24" s="212"/>
      <c r="H24" s="66" t="s">
        <v>223</v>
      </c>
      <c r="I24" s="66" t="s">
        <v>23</v>
      </c>
      <c r="J24" s="64" t="s">
        <v>32</v>
      </c>
      <c r="K24" s="66" t="s">
        <v>88</v>
      </c>
      <c r="L24" s="214" t="s">
        <v>20</v>
      </c>
      <c r="M24" s="212"/>
      <c r="N24" s="66" t="s">
        <v>223</v>
      </c>
      <c r="O24" s="66" t="s">
        <v>23</v>
      </c>
      <c r="P24" s="64" t="s">
        <v>32</v>
      </c>
      <c r="Q24" s="66" t="s">
        <v>88</v>
      </c>
      <c r="R24" s="214" t="s">
        <v>20</v>
      </c>
      <c r="S24" s="212"/>
      <c r="T24" s="66" t="s">
        <v>223</v>
      </c>
      <c r="U24" s="66" t="s">
        <v>23</v>
      </c>
    </row>
    <row r="25" spans="1:21" x14ac:dyDescent="0.25">
      <c r="A25" s="240"/>
      <c r="B25" s="216"/>
      <c r="C25" s="41" t="s">
        <v>19</v>
      </c>
      <c r="D25" s="67" t="s">
        <v>105</v>
      </c>
      <c r="E25" s="68" t="s">
        <v>105</v>
      </c>
      <c r="F25" s="223" t="s">
        <v>105</v>
      </c>
      <c r="G25" s="224"/>
      <c r="H25" s="69" t="s">
        <v>105</v>
      </c>
      <c r="I25" s="69" t="s">
        <v>105</v>
      </c>
      <c r="J25" s="67" t="s">
        <v>105</v>
      </c>
      <c r="K25" s="68" t="s">
        <v>105</v>
      </c>
      <c r="L25" s="157" t="s">
        <v>105</v>
      </c>
      <c r="M25" s="155"/>
      <c r="N25" s="69" t="s">
        <v>105</v>
      </c>
      <c r="O25" s="69" t="s">
        <v>105</v>
      </c>
      <c r="P25" s="67" t="s">
        <v>105</v>
      </c>
      <c r="Q25" s="68" t="s">
        <v>105</v>
      </c>
      <c r="R25" s="223" t="s">
        <v>105</v>
      </c>
      <c r="S25" s="224"/>
      <c r="T25" s="69" t="s">
        <v>105</v>
      </c>
      <c r="U25" s="69" t="s">
        <v>105</v>
      </c>
    </row>
    <row r="26" spans="1:21" ht="15.75" thickBot="1" x14ac:dyDescent="0.3">
      <c r="A26" s="241"/>
      <c r="B26" s="217"/>
      <c r="C26" s="42" t="s">
        <v>18</v>
      </c>
      <c r="D26" s="67" t="s">
        <v>105</v>
      </c>
      <c r="E26" s="68" t="s">
        <v>105</v>
      </c>
      <c r="F26" s="223" t="s">
        <v>105</v>
      </c>
      <c r="G26" s="224"/>
      <c r="H26" s="69" t="s">
        <v>105</v>
      </c>
      <c r="I26" s="69" t="s">
        <v>105</v>
      </c>
      <c r="J26" s="67" t="s">
        <v>105</v>
      </c>
      <c r="K26" s="68" t="s">
        <v>105</v>
      </c>
      <c r="L26" s="141" t="s">
        <v>105</v>
      </c>
      <c r="M26" s="143"/>
      <c r="N26" s="69" t="s">
        <v>105</v>
      </c>
      <c r="O26" s="69" t="s">
        <v>105</v>
      </c>
      <c r="P26" s="67" t="s">
        <v>105</v>
      </c>
      <c r="Q26" s="68" t="s">
        <v>105</v>
      </c>
      <c r="R26" s="223" t="s">
        <v>105</v>
      </c>
      <c r="S26" s="224"/>
      <c r="T26" s="69" t="s">
        <v>105</v>
      </c>
      <c r="U26" s="69" t="s">
        <v>105</v>
      </c>
    </row>
    <row r="27" spans="1:21" ht="15.75" thickBot="1" x14ac:dyDescent="0.3">
      <c r="A27" s="16"/>
      <c r="B27" s="13"/>
      <c r="C27" s="13"/>
      <c r="D27" s="145"/>
      <c r="E27" s="146"/>
      <c r="F27" s="146"/>
      <c r="G27" s="146"/>
      <c r="H27" s="146"/>
      <c r="I27" s="146"/>
      <c r="J27" s="234"/>
      <c r="K27" s="235"/>
      <c r="L27" s="235"/>
      <c r="M27" s="235"/>
      <c r="N27" s="235"/>
      <c r="O27" s="235"/>
      <c r="P27" s="145"/>
      <c r="Q27" s="146"/>
      <c r="R27" s="146"/>
      <c r="S27" s="146"/>
      <c r="T27" s="146"/>
      <c r="U27" s="146"/>
    </row>
    <row r="28" spans="1:21" ht="60" customHeight="1" thickBot="1" x14ac:dyDescent="0.3">
      <c r="A28" s="149" t="s">
        <v>21</v>
      </c>
      <c r="B28" s="215" t="s">
        <v>95</v>
      </c>
      <c r="C28" s="43"/>
      <c r="D28" s="75" t="s">
        <v>32</v>
      </c>
      <c r="E28" s="66" t="s">
        <v>20</v>
      </c>
      <c r="F28" s="214" t="s">
        <v>90</v>
      </c>
      <c r="G28" s="212"/>
      <c r="H28" s="232" t="s">
        <v>23</v>
      </c>
      <c r="I28" s="232"/>
      <c r="J28" s="75" t="s">
        <v>32</v>
      </c>
      <c r="K28" s="66" t="s">
        <v>20</v>
      </c>
      <c r="L28" s="214" t="s">
        <v>90</v>
      </c>
      <c r="M28" s="212"/>
      <c r="N28" s="227" t="s">
        <v>23</v>
      </c>
      <c r="O28" s="228"/>
      <c r="P28" s="75" t="s">
        <v>32</v>
      </c>
      <c r="Q28" s="66" t="s">
        <v>20</v>
      </c>
      <c r="R28" s="214" t="s">
        <v>90</v>
      </c>
      <c r="S28" s="212"/>
      <c r="T28" s="232" t="s">
        <v>23</v>
      </c>
      <c r="U28" s="232"/>
    </row>
    <row r="29" spans="1:21" ht="17.25" customHeight="1" x14ac:dyDescent="0.25">
      <c r="A29" s="150"/>
      <c r="B29" s="216"/>
      <c r="C29" s="41" t="s">
        <v>24</v>
      </c>
      <c r="D29" s="76" t="s">
        <v>174</v>
      </c>
      <c r="E29" s="69" t="s">
        <v>118</v>
      </c>
      <c r="F29" s="223" t="s">
        <v>173</v>
      </c>
      <c r="G29" s="224"/>
      <c r="H29" s="230" t="s">
        <v>224</v>
      </c>
      <c r="I29" s="231"/>
      <c r="J29" s="76" t="s">
        <v>147</v>
      </c>
      <c r="K29" s="69" t="s">
        <v>136</v>
      </c>
      <c r="L29" s="157" t="s">
        <v>138</v>
      </c>
      <c r="M29" s="155"/>
      <c r="N29" s="157" t="s">
        <v>220</v>
      </c>
      <c r="O29" s="155"/>
      <c r="P29" s="76" t="s">
        <v>187</v>
      </c>
      <c r="Q29" s="69" t="s">
        <v>118</v>
      </c>
      <c r="R29" s="223" t="s">
        <v>188</v>
      </c>
      <c r="S29" s="224"/>
      <c r="T29" s="229" t="s">
        <v>224</v>
      </c>
      <c r="U29" s="229"/>
    </row>
    <row r="30" spans="1:21" ht="17.25" customHeight="1" x14ac:dyDescent="0.25">
      <c r="A30" s="150"/>
      <c r="B30" s="216"/>
      <c r="C30" s="15" t="s">
        <v>24</v>
      </c>
      <c r="D30" s="67" t="s">
        <v>105</v>
      </c>
      <c r="E30" s="68" t="s">
        <v>105</v>
      </c>
      <c r="F30" s="223" t="s">
        <v>105</v>
      </c>
      <c r="G30" s="224"/>
      <c r="H30" s="141" t="s">
        <v>105</v>
      </c>
      <c r="I30" s="233"/>
      <c r="J30" s="67" t="s">
        <v>105</v>
      </c>
      <c r="K30" s="68" t="s">
        <v>105</v>
      </c>
      <c r="L30" s="141" t="s">
        <v>105</v>
      </c>
      <c r="M30" s="143"/>
      <c r="N30" s="69" t="s">
        <v>105</v>
      </c>
      <c r="O30" s="69" t="s">
        <v>105</v>
      </c>
      <c r="P30" s="61" t="s">
        <v>187</v>
      </c>
      <c r="Q30" s="62" t="s">
        <v>118</v>
      </c>
      <c r="R30" s="141" t="s">
        <v>188</v>
      </c>
      <c r="S30" s="143"/>
      <c r="T30" s="229" t="s">
        <v>225</v>
      </c>
      <c r="U30" s="229"/>
    </row>
    <row r="31" spans="1:21" x14ac:dyDescent="0.25">
      <c r="A31" s="150"/>
      <c r="B31" s="216"/>
      <c r="C31" s="15" t="s">
        <v>25</v>
      </c>
      <c r="D31" s="61" t="s">
        <v>105</v>
      </c>
      <c r="E31" s="62" t="s">
        <v>105</v>
      </c>
      <c r="F31" s="141" t="s">
        <v>105</v>
      </c>
      <c r="G31" s="143"/>
      <c r="H31" s="69" t="s">
        <v>105</v>
      </c>
      <c r="I31" s="69" t="s">
        <v>105</v>
      </c>
      <c r="J31" s="61" t="s">
        <v>148</v>
      </c>
      <c r="K31" s="62" t="s">
        <v>137</v>
      </c>
      <c r="L31" s="141" t="s">
        <v>139</v>
      </c>
      <c r="M31" s="143"/>
      <c r="N31" s="141" t="s">
        <v>220</v>
      </c>
      <c r="O31" s="143"/>
      <c r="P31" s="67" t="s">
        <v>105</v>
      </c>
      <c r="Q31" s="68" t="s">
        <v>105</v>
      </c>
      <c r="R31" s="223" t="s">
        <v>105</v>
      </c>
      <c r="S31" s="224"/>
      <c r="T31" s="69" t="s">
        <v>105</v>
      </c>
      <c r="U31" s="69" t="s">
        <v>105</v>
      </c>
    </row>
    <row r="32" spans="1:21" x14ac:dyDescent="0.25">
      <c r="A32" s="150"/>
      <c r="B32" s="216"/>
      <c r="C32" s="15" t="s">
        <v>178</v>
      </c>
      <c r="D32" s="67" t="s">
        <v>105</v>
      </c>
      <c r="E32" s="68" t="s">
        <v>105</v>
      </c>
      <c r="F32" s="223" t="s">
        <v>105</v>
      </c>
      <c r="G32" s="224"/>
      <c r="H32" s="69" t="s">
        <v>105</v>
      </c>
      <c r="I32" s="69" t="s">
        <v>105</v>
      </c>
      <c r="J32" s="67" t="s">
        <v>179</v>
      </c>
      <c r="K32" s="68" t="s">
        <v>180</v>
      </c>
      <c r="L32" s="141" t="s">
        <v>182</v>
      </c>
      <c r="M32" s="143"/>
      <c r="N32" s="69" t="s">
        <v>183</v>
      </c>
      <c r="O32" s="69" t="s">
        <v>183</v>
      </c>
      <c r="P32" s="67" t="s">
        <v>105</v>
      </c>
      <c r="Q32" s="68" t="s">
        <v>105</v>
      </c>
      <c r="R32" s="223" t="s">
        <v>105</v>
      </c>
      <c r="S32" s="224"/>
      <c r="T32" s="69" t="s">
        <v>105</v>
      </c>
      <c r="U32" s="69" t="s">
        <v>105</v>
      </c>
    </row>
    <row r="33" spans="1:21" x14ac:dyDescent="0.25">
      <c r="A33" s="150"/>
      <c r="B33" s="216"/>
      <c r="C33" s="15" t="s">
        <v>22</v>
      </c>
      <c r="D33" s="67" t="s">
        <v>105</v>
      </c>
      <c r="E33" s="68" t="s">
        <v>105</v>
      </c>
      <c r="F33" s="223" t="s">
        <v>105</v>
      </c>
      <c r="G33" s="224"/>
      <c r="H33" s="69" t="s">
        <v>105</v>
      </c>
      <c r="I33" s="69" t="s">
        <v>105</v>
      </c>
      <c r="J33" s="67" t="s">
        <v>105</v>
      </c>
      <c r="K33" s="68" t="s">
        <v>105</v>
      </c>
      <c r="L33" s="141" t="s">
        <v>105</v>
      </c>
      <c r="M33" s="143"/>
      <c r="N33" s="69" t="s">
        <v>105</v>
      </c>
      <c r="O33" s="69" t="s">
        <v>105</v>
      </c>
      <c r="P33" s="67" t="s">
        <v>105</v>
      </c>
      <c r="Q33" s="68" t="s">
        <v>105</v>
      </c>
      <c r="R33" s="223" t="s">
        <v>105</v>
      </c>
      <c r="S33" s="224"/>
      <c r="T33" s="69" t="s">
        <v>105</v>
      </c>
      <c r="U33" s="69" t="s">
        <v>105</v>
      </c>
    </row>
    <row r="34" spans="1:21" ht="15.75" thickBot="1" x14ac:dyDescent="0.3">
      <c r="A34" s="150"/>
      <c r="B34" s="216"/>
      <c r="C34" s="42" t="s">
        <v>22</v>
      </c>
      <c r="D34" s="67" t="s">
        <v>105</v>
      </c>
      <c r="E34" s="68" t="s">
        <v>105</v>
      </c>
      <c r="F34" s="223" t="s">
        <v>105</v>
      </c>
      <c r="G34" s="224"/>
      <c r="H34" s="69" t="s">
        <v>105</v>
      </c>
      <c r="I34" s="69" t="s">
        <v>105</v>
      </c>
      <c r="J34" s="67" t="s">
        <v>105</v>
      </c>
      <c r="K34" s="68" t="s">
        <v>105</v>
      </c>
      <c r="L34" s="225" t="s">
        <v>105</v>
      </c>
      <c r="M34" s="226"/>
      <c r="N34" s="69" t="s">
        <v>105</v>
      </c>
      <c r="O34" s="69" t="s">
        <v>105</v>
      </c>
      <c r="P34" s="67" t="s">
        <v>105</v>
      </c>
      <c r="Q34" s="68" t="s">
        <v>105</v>
      </c>
      <c r="R34" s="223" t="s">
        <v>105</v>
      </c>
      <c r="S34" s="224"/>
      <c r="T34" s="69" t="s">
        <v>105</v>
      </c>
      <c r="U34" s="69" t="s">
        <v>105</v>
      </c>
    </row>
    <row r="35" spans="1:21" s="33" customFormat="1" ht="15.75" thickBot="1" x14ac:dyDescent="0.3">
      <c r="A35" s="151"/>
      <c r="B35" s="217"/>
      <c r="C35" s="43" t="s">
        <v>67</v>
      </c>
      <c r="D35" s="211" t="s">
        <v>105</v>
      </c>
      <c r="E35" s="211"/>
      <c r="F35" s="211"/>
      <c r="G35" s="212"/>
      <c r="H35" s="213" t="s">
        <v>226</v>
      </c>
      <c r="I35" s="213"/>
      <c r="J35" s="214" t="s">
        <v>105</v>
      </c>
      <c r="K35" s="211"/>
      <c r="L35" s="211"/>
      <c r="M35" s="212"/>
      <c r="N35" s="214" t="s">
        <v>105</v>
      </c>
      <c r="O35" s="212"/>
      <c r="P35" s="210" t="s">
        <v>114</v>
      </c>
      <c r="Q35" s="211"/>
      <c r="R35" s="211"/>
      <c r="S35" s="212"/>
      <c r="T35" s="213" t="s">
        <v>227</v>
      </c>
      <c r="U35" s="213"/>
    </row>
    <row r="36" spans="1:21" ht="15.75" thickBot="1" x14ac:dyDescent="0.3">
      <c r="A36" s="10"/>
      <c r="B36" s="13"/>
      <c r="C36" s="13"/>
      <c r="D36" s="145"/>
      <c r="E36" s="146"/>
      <c r="F36" s="146"/>
      <c r="G36" s="146"/>
      <c r="H36" s="146"/>
      <c r="I36" s="146"/>
      <c r="J36" s="147"/>
      <c r="K36" s="148"/>
      <c r="L36" s="148"/>
      <c r="M36" s="148"/>
      <c r="N36" s="148"/>
      <c r="O36" s="148"/>
      <c r="P36" s="145"/>
      <c r="Q36" s="146"/>
      <c r="R36" s="146"/>
      <c r="S36" s="146"/>
      <c r="T36" s="146"/>
      <c r="U36" s="146"/>
    </row>
    <row r="37" spans="1:21" ht="15.75" customHeight="1" thickBot="1" x14ac:dyDescent="0.3">
      <c r="A37" s="202" t="s">
        <v>26</v>
      </c>
      <c r="B37" s="203" t="s">
        <v>96</v>
      </c>
      <c r="C37" s="44"/>
      <c r="D37" s="206" t="s">
        <v>9</v>
      </c>
      <c r="E37" s="207"/>
      <c r="F37" s="208" t="s">
        <v>10</v>
      </c>
      <c r="G37" s="208"/>
      <c r="H37" s="208"/>
      <c r="I37" s="208"/>
      <c r="J37" s="209" t="s">
        <v>9</v>
      </c>
      <c r="K37" s="207"/>
      <c r="L37" s="209" t="s">
        <v>10</v>
      </c>
      <c r="M37" s="206"/>
      <c r="N37" s="206"/>
      <c r="O37" s="207"/>
      <c r="P37" s="206" t="s">
        <v>9</v>
      </c>
      <c r="Q37" s="207"/>
      <c r="R37" s="208" t="s">
        <v>10</v>
      </c>
      <c r="S37" s="208"/>
      <c r="T37" s="208"/>
      <c r="U37" s="208"/>
    </row>
    <row r="38" spans="1:21" ht="15" customHeight="1" x14ac:dyDescent="0.25">
      <c r="A38" s="202"/>
      <c r="B38" s="204"/>
      <c r="C38" s="14" t="s">
        <v>27</v>
      </c>
      <c r="D38" s="218" t="s">
        <v>106</v>
      </c>
      <c r="E38" s="219"/>
      <c r="F38" s="220" t="s">
        <v>228</v>
      </c>
      <c r="G38" s="221"/>
      <c r="H38" s="221"/>
      <c r="I38" s="222"/>
      <c r="J38" s="220" t="s">
        <v>106</v>
      </c>
      <c r="K38" s="222"/>
      <c r="L38" s="220" t="s">
        <v>229</v>
      </c>
      <c r="M38" s="221"/>
      <c r="N38" s="221"/>
      <c r="O38" s="222"/>
      <c r="P38" s="218" t="s">
        <v>106</v>
      </c>
      <c r="Q38" s="219"/>
      <c r="R38" s="200" t="s">
        <v>184</v>
      </c>
      <c r="S38" s="200"/>
      <c r="T38" s="200"/>
      <c r="U38" s="200"/>
    </row>
    <row r="39" spans="1:21" x14ac:dyDescent="0.25">
      <c r="A39" s="202"/>
      <c r="B39" s="204"/>
      <c r="C39" s="14" t="s">
        <v>28</v>
      </c>
      <c r="D39" s="198" t="s">
        <v>105</v>
      </c>
      <c r="E39" s="199"/>
      <c r="F39" s="200" t="s">
        <v>105</v>
      </c>
      <c r="G39" s="200"/>
      <c r="H39" s="200"/>
      <c r="I39" s="200"/>
      <c r="J39" s="201" t="s">
        <v>105</v>
      </c>
      <c r="K39" s="199"/>
      <c r="L39" s="201" t="s">
        <v>105</v>
      </c>
      <c r="M39" s="198"/>
      <c r="N39" s="198"/>
      <c r="O39" s="199"/>
      <c r="P39" s="198" t="s">
        <v>105</v>
      </c>
      <c r="Q39" s="199"/>
      <c r="R39" s="200" t="s">
        <v>105</v>
      </c>
      <c r="S39" s="200"/>
      <c r="T39" s="200"/>
      <c r="U39" s="200"/>
    </row>
    <row r="40" spans="1:21" ht="15.75" thickBot="1" x14ac:dyDescent="0.3">
      <c r="A40" s="202"/>
      <c r="B40" s="205"/>
      <c r="C40" s="45" t="s">
        <v>29</v>
      </c>
      <c r="D40" s="194" t="s">
        <v>105</v>
      </c>
      <c r="E40" s="195"/>
      <c r="F40" s="196" t="s">
        <v>105</v>
      </c>
      <c r="G40" s="196"/>
      <c r="H40" s="196"/>
      <c r="I40" s="196"/>
      <c r="J40" s="197" t="s">
        <v>105</v>
      </c>
      <c r="K40" s="195"/>
      <c r="L40" s="197" t="s">
        <v>105</v>
      </c>
      <c r="M40" s="194"/>
      <c r="N40" s="194"/>
      <c r="O40" s="195"/>
      <c r="P40" s="194" t="s">
        <v>105</v>
      </c>
      <c r="Q40" s="195"/>
      <c r="R40" s="196" t="s">
        <v>105</v>
      </c>
      <c r="S40" s="196"/>
      <c r="T40" s="196"/>
      <c r="U40" s="196"/>
    </row>
    <row r="41" spans="1:21" ht="15.75" thickBot="1" x14ac:dyDescent="0.3">
      <c r="A41" s="10"/>
      <c r="B41" s="13"/>
      <c r="C41" s="13"/>
      <c r="D41" s="145"/>
      <c r="E41" s="146"/>
      <c r="F41" s="146"/>
      <c r="G41" s="146"/>
      <c r="H41" s="146"/>
      <c r="I41" s="146"/>
      <c r="J41" s="147"/>
      <c r="K41" s="148"/>
      <c r="L41" s="148"/>
      <c r="M41" s="148"/>
      <c r="N41" s="148"/>
      <c r="O41" s="148"/>
      <c r="P41" s="145"/>
      <c r="Q41" s="146"/>
      <c r="R41" s="146"/>
      <c r="S41" s="146"/>
      <c r="T41" s="146"/>
      <c r="U41" s="146"/>
    </row>
    <row r="42" spans="1:21" ht="15" customHeight="1" thickBot="1" x14ac:dyDescent="0.3">
      <c r="A42" s="169" t="s">
        <v>30</v>
      </c>
      <c r="B42" s="171" t="s">
        <v>97</v>
      </c>
      <c r="C42" s="53"/>
      <c r="D42" s="77" t="s">
        <v>9</v>
      </c>
      <c r="E42" s="174" t="s">
        <v>83</v>
      </c>
      <c r="F42" s="175"/>
      <c r="G42" s="176" t="s">
        <v>82</v>
      </c>
      <c r="H42" s="176"/>
      <c r="I42" s="176"/>
      <c r="J42" s="77" t="s">
        <v>9</v>
      </c>
      <c r="K42" s="174" t="s">
        <v>83</v>
      </c>
      <c r="L42" s="175"/>
      <c r="M42" s="174" t="s">
        <v>82</v>
      </c>
      <c r="N42" s="183"/>
      <c r="O42" s="175"/>
      <c r="P42" s="77" t="s">
        <v>9</v>
      </c>
      <c r="Q42" s="174" t="s">
        <v>83</v>
      </c>
      <c r="R42" s="175"/>
      <c r="S42" s="176" t="s">
        <v>82</v>
      </c>
      <c r="T42" s="176"/>
      <c r="U42" s="176"/>
    </row>
    <row r="43" spans="1:21" ht="15" customHeight="1" x14ac:dyDescent="0.25">
      <c r="A43" s="170"/>
      <c r="B43" s="172"/>
      <c r="C43" s="52" t="s">
        <v>34</v>
      </c>
      <c r="D43" s="78" t="s">
        <v>106</v>
      </c>
      <c r="E43" s="187" t="s">
        <v>175</v>
      </c>
      <c r="F43" s="185"/>
      <c r="G43" s="188" t="s">
        <v>211</v>
      </c>
      <c r="H43" s="186"/>
      <c r="I43" s="186"/>
      <c r="J43" s="78"/>
      <c r="K43" s="189" t="s">
        <v>169</v>
      </c>
      <c r="L43" s="190"/>
      <c r="M43" s="191" t="s">
        <v>210</v>
      </c>
      <c r="N43" s="192"/>
      <c r="O43" s="193"/>
      <c r="P43" s="78" t="s">
        <v>106</v>
      </c>
      <c r="Q43" s="184" t="s">
        <v>185</v>
      </c>
      <c r="R43" s="185"/>
      <c r="S43" s="186" t="s">
        <v>186</v>
      </c>
      <c r="T43" s="186"/>
      <c r="U43" s="186"/>
    </row>
    <row r="44" spans="1:21" ht="15.75" thickBot="1" x14ac:dyDescent="0.3">
      <c r="A44" s="170"/>
      <c r="B44" s="173"/>
      <c r="C44" s="51" t="s">
        <v>33</v>
      </c>
      <c r="D44" s="79" t="s">
        <v>106</v>
      </c>
      <c r="E44" s="177" t="s">
        <v>122</v>
      </c>
      <c r="F44" s="178"/>
      <c r="G44" s="179" t="s">
        <v>105</v>
      </c>
      <c r="H44" s="179"/>
      <c r="I44" s="179"/>
      <c r="J44" s="79"/>
      <c r="K44" s="177" t="s">
        <v>122</v>
      </c>
      <c r="L44" s="180"/>
      <c r="M44" s="181" t="s">
        <v>105</v>
      </c>
      <c r="N44" s="182"/>
      <c r="O44" s="178"/>
      <c r="P44" s="79" t="s">
        <v>106</v>
      </c>
      <c r="Q44" s="177" t="s">
        <v>121</v>
      </c>
      <c r="R44" s="178"/>
      <c r="S44" s="179" t="s">
        <v>105</v>
      </c>
      <c r="T44" s="179"/>
      <c r="U44" s="179"/>
    </row>
    <row r="45" spans="1:21" ht="15.75" thickBot="1" x14ac:dyDescent="0.3">
      <c r="A45" s="10"/>
      <c r="B45" s="13"/>
      <c r="C45" s="13"/>
      <c r="D45" s="145"/>
      <c r="E45" s="146"/>
      <c r="F45" s="146"/>
      <c r="G45" s="146"/>
      <c r="H45" s="146"/>
      <c r="I45" s="146"/>
      <c r="J45" s="147"/>
      <c r="K45" s="148"/>
      <c r="L45" s="148"/>
      <c r="M45" s="148"/>
      <c r="N45" s="148"/>
      <c r="O45" s="148"/>
      <c r="P45" s="145"/>
      <c r="Q45" s="146"/>
      <c r="R45" s="146"/>
      <c r="S45" s="146"/>
      <c r="T45" s="146"/>
      <c r="U45" s="146"/>
    </row>
    <row r="46" spans="1:21" ht="15" customHeight="1" x14ac:dyDescent="0.25">
      <c r="A46" s="149" t="s">
        <v>31</v>
      </c>
      <c r="B46" s="152" t="s">
        <v>99</v>
      </c>
      <c r="C46" s="50" t="s">
        <v>35</v>
      </c>
      <c r="D46" s="155">
        <v>42.3</v>
      </c>
      <c r="E46" s="156"/>
      <c r="F46" s="156"/>
      <c r="G46" s="156"/>
      <c r="H46" s="156"/>
      <c r="I46" s="156"/>
      <c r="J46" s="157">
        <v>71</v>
      </c>
      <c r="K46" s="158"/>
      <c r="L46" s="158"/>
      <c r="M46" s="158"/>
      <c r="N46" s="158"/>
      <c r="O46" s="155"/>
      <c r="P46" s="155">
        <v>46.5</v>
      </c>
      <c r="Q46" s="156"/>
      <c r="R46" s="156"/>
      <c r="S46" s="156"/>
      <c r="T46" s="156"/>
      <c r="U46" s="156"/>
    </row>
    <row r="47" spans="1:21" x14ac:dyDescent="0.25">
      <c r="A47" s="150"/>
      <c r="B47" s="153"/>
      <c r="C47" s="17" t="s">
        <v>68</v>
      </c>
      <c r="D47" s="143">
        <v>67.52</v>
      </c>
      <c r="E47" s="144"/>
      <c r="F47" s="144"/>
      <c r="G47" s="144"/>
      <c r="H47" s="144"/>
      <c r="I47" s="144"/>
      <c r="J47" s="141">
        <v>138</v>
      </c>
      <c r="K47" s="142"/>
      <c r="L47" s="142"/>
      <c r="M47" s="142"/>
      <c r="N47" s="142"/>
      <c r="O47" s="143"/>
      <c r="P47" s="143">
        <v>164.22</v>
      </c>
      <c r="Q47" s="144"/>
      <c r="R47" s="144"/>
      <c r="S47" s="144"/>
      <c r="T47" s="144"/>
      <c r="U47" s="144"/>
    </row>
    <row r="48" spans="1:21" x14ac:dyDescent="0.25">
      <c r="A48" s="150"/>
      <c r="B48" s="153"/>
      <c r="C48" s="17" t="s">
        <v>41</v>
      </c>
      <c r="D48" s="143">
        <v>13.84</v>
      </c>
      <c r="E48" s="144"/>
      <c r="F48" s="144"/>
      <c r="G48" s="144"/>
      <c r="H48" s="144"/>
      <c r="I48" s="144"/>
      <c r="J48" s="141">
        <v>32.67</v>
      </c>
      <c r="K48" s="142"/>
      <c r="L48" s="142"/>
      <c r="M48" s="142"/>
      <c r="N48" s="142"/>
      <c r="O48" s="143"/>
      <c r="P48" s="143">
        <v>64.38</v>
      </c>
      <c r="Q48" s="144"/>
      <c r="R48" s="144"/>
      <c r="S48" s="144"/>
      <c r="T48" s="144"/>
      <c r="U48" s="144"/>
    </row>
    <row r="49" spans="1:21" x14ac:dyDescent="0.25">
      <c r="A49" s="150"/>
      <c r="B49" s="153"/>
      <c r="C49" s="17" t="s">
        <v>42</v>
      </c>
      <c r="D49" s="137">
        <v>361</v>
      </c>
      <c r="E49" s="138"/>
      <c r="F49" s="138"/>
      <c r="G49" s="138"/>
      <c r="H49" s="138"/>
      <c r="I49" s="138"/>
      <c r="J49" s="139">
        <v>492</v>
      </c>
      <c r="K49" s="140"/>
      <c r="L49" s="140"/>
      <c r="M49" s="140"/>
      <c r="N49" s="140"/>
      <c r="O49" s="137"/>
      <c r="P49" s="137">
        <v>448</v>
      </c>
      <c r="Q49" s="138"/>
      <c r="R49" s="138"/>
      <c r="S49" s="138"/>
      <c r="T49" s="138"/>
      <c r="U49" s="138"/>
    </row>
    <row r="50" spans="1:21" x14ac:dyDescent="0.25">
      <c r="A50" s="150"/>
      <c r="B50" s="153"/>
      <c r="C50" s="15" t="s">
        <v>43</v>
      </c>
      <c r="D50" s="137" t="s">
        <v>105</v>
      </c>
      <c r="E50" s="138"/>
      <c r="F50" s="138"/>
      <c r="G50" s="138"/>
      <c r="H50" s="138"/>
      <c r="I50" s="138"/>
      <c r="J50" s="139" t="s">
        <v>105</v>
      </c>
      <c r="K50" s="140"/>
      <c r="L50" s="140"/>
      <c r="M50" s="140"/>
      <c r="N50" s="140"/>
      <c r="O50" s="137"/>
      <c r="P50" s="137" t="s">
        <v>105</v>
      </c>
      <c r="Q50" s="138"/>
      <c r="R50" s="138"/>
      <c r="S50" s="138"/>
      <c r="T50" s="138"/>
      <c r="U50" s="138"/>
    </row>
    <row r="51" spans="1:21" x14ac:dyDescent="0.25">
      <c r="A51" s="150"/>
      <c r="B51" s="153"/>
      <c r="C51" s="15" t="s">
        <v>44</v>
      </c>
      <c r="D51" s="137" t="s">
        <v>105</v>
      </c>
      <c r="E51" s="138"/>
      <c r="F51" s="138"/>
      <c r="G51" s="138"/>
      <c r="H51" s="138"/>
      <c r="I51" s="138"/>
      <c r="J51" s="139" t="s">
        <v>105</v>
      </c>
      <c r="K51" s="140"/>
      <c r="L51" s="140"/>
      <c r="M51" s="140"/>
      <c r="N51" s="140"/>
      <c r="O51" s="137"/>
      <c r="P51" s="137" t="s">
        <v>122</v>
      </c>
      <c r="Q51" s="138"/>
      <c r="R51" s="138"/>
      <c r="S51" s="138"/>
      <c r="T51" s="138"/>
      <c r="U51" s="138"/>
    </row>
    <row r="52" spans="1:21" x14ac:dyDescent="0.25">
      <c r="A52" s="150"/>
      <c r="B52" s="153"/>
      <c r="C52" s="17" t="s">
        <v>45</v>
      </c>
      <c r="D52" s="137" t="s">
        <v>105</v>
      </c>
      <c r="E52" s="138"/>
      <c r="F52" s="138"/>
      <c r="G52" s="138"/>
      <c r="H52" s="138"/>
      <c r="I52" s="138"/>
      <c r="J52" s="139" t="s">
        <v>105</v>
      </c>
      <c r="K52" s="140"/>
      <c r="L52" s="140"/>
      <c r="M52" s="140"/>
      <c r="N52" s="140"/>
      <c r="O52" s="137"/>
      <c r="P52" s="137" t="s">
        <v>105</v>
      </c>
      <c r="Q52" s="138"/>
      <c r="R52" s="138"/>
      <c r="S52" s="138"/>
      <c r="T52" s="138"/>
      <c r="U52" s="138"/>
    </row>
    <row r="53" spans="1:21" x14ac:dyDescent="0.25">
      <c r="A53" s="150"/>
      <c r="B53" s="153"/>
      <c r="C53" s="15" t="s">
        <v>46</v>
      </c>
      <c r="D53" s="137">
        <f>SUM(D46:D52)</f>
        <v>484.65999999999997</v>
      </c>
      <c r="E53" s="138"/>
      <c r="F53" s="138"/>
      <c r="G53" s="138"/>
      <c r="H53" s="138"/>
      <c r="I53" s="138"/>
      <c r="J53" s="139">
        <f>SUM(J46:O52)</f>
        <v>733.67000000000007</v>
      </c>
      <c r="K53" s="140"/>
      <c r="L53" s="140"/>
      <c r="M53" s="140"/>
      <c r="N53" s="140"/>
      <c r="O53" s="137"/>
      <c r="P53" s="137">
        <f>SUM(P46:U52)</f>
        <v>723.1</v>
      </c>
      <c r="Q53" s="138"/>
      <c r="R53" s="138"/>
      <c r="S53" s="138"/>
      <c r="T53" s="138"/>
      <c r="U53" s="138"/>
    </row>
    <row r="54" spans="1:21" ht="15" customHeight="1" x14ac:dyDescent="0.25">
      <c r="A54" s="150"/>
      <c r="B54" s="153"/>
      <c r="C54" s="159" t="s">
        <v>69</v>
      </c>
      <c r="D54" s="137" t="s">
        <v>105</v>
      </c>
      <c r="E54" s="138"/>
      <c r="F54" s="138"/>
      <c r="G54" s="138"/>
      <c r="H54" s="138"/>
      <c r="I54" s="138"/>
      <c r="J54" s="163" t="s">
        <v>105</v>
      </c>
      <c r="K54" s="164"/>
      <c r="L54" s="164"/>
      <c r="M54" s="164"/>
      <c r="N54" s="164"/>
      <c r="O54" s="165"/>
      <c r="P54" s="137" t="s">
        <v>105</v>
      </c>
      <c r="Q54" s="138"/>
      <c r="R54" s="138"/>
      <c r="S54" s="138"/>
      <c r="T54" s="138"/>
      <c r="U54" s="138"/>
    </row>
    <row r="55" spans="1:21" ht="15.75" thickBot="1" x14ac:dyDescent="0.3">
      <c r="A55" s="151"/>
      <c r="B55" s="154"/>
      <c r="C55" s="160"/>
      <c r="D55" s="161"/>
      <c r="E55" s="162"/>
      <c r="F55" s="162"/>
      <c r="G55" s="162"/>
      <c r="H55" s="162"/>
      <c r="I55" s="162"/>
      <c r="J55" s="166"/>
      <c r="K55" s="167"/>
      <c r="L55" s="167"/>
      <c r="M55" s="167"/>
      <c r="N55" s="167"/>
      <c r="O55" s="168"/>
      <c r="P55" s="161"/>
      <c r="Q55" s="162"/>
      <c r="R55" s="162"/>
      <c r="S55" s="162"/>
      <c r="T55" s="162"/>
      <c r="U55" s="162"/>
    </row>
    <row r="56" spans="1:21" x14ac:dyDescent="0.25">
      <c r="Q56" s="5">
        <v>2019</v>
      </c>
    </row>
    <row r="57" spans="1:21" x14ac:dyDescent="0.25">
      <c r="D57" s="5">
        <v>2017</v>
      </c>
      <c r="J57" s="5">
        <v>2018</v>
      </c>
    </row>
  </sheetData>
  <mergeCells count="209">
    <mergeCell ref="P2:U2"/>
    <mergeCell ref="D2:I2"/>
    <mergeCell ref="J2:O2"/>
    <mergeCell ref="A3:A6"/>
    <mergeCell ref="B3:B6"/>
    <mergeCell ref="P3:U3"/>
    <mergeCell ref="D3:I3"/>
    <mergeCell ref="J3:O3"/>
    <mergeCell ref="P4:U4"/>
    <mergeCell ref="D4:I4"/>
    <mergeCell ref="A8:A10"/>
    <mergeCell ref="B8:B10"/>
    <mergeCell ref="P8:U8"/>
    <mergeCell ref="D8:I8"/>
    <mergeCell ref="J8:O8"/>
    <mergeCell ref="P9:U9"/>
    <mergeCell ref="D9:I9"/>
    <mergeCell ref="J4:O4"/>
    <mergeCell ref="P5:U5"/>
    <mergeCell ref="D5:I5"/>
    <mergeCell ref="J5:O5"/>
    <mergeCell ref="P6:U6"/>
    <mergeCell ref="D6:I6"/>
    <mergeCell ref="J6:O6"/>
    <mergeCell ref="J9:O9"/>
    <mergeCell ref="P10:U10"/>
    <mergeCell ref="D10:I10"/>
    <mergeCell ref="J10:O10"/>
    <mergeCell ref="P11:U11"/>
    <mergeCell ref="D11:I11"/>
    <mergeCell ref="J11:O11"/>
    <mergeCell ref="P7:U7"/>
    <mergeCell ref="D7:I7"/>
    <mergeCell ref="J7:O7"/>
    <mergeCell ref="A16:A26"/>
    <mergeCell ref="B16:B26"/>
    <mergeCell ref="R16:S16"/>
    <mergeCell ref="F16:G16"/>
    <mergeCell ref="L16:M16"/>
    <mergeCell ref="R17:S17"/>
    <mergeCell ref="A12:A14"/>
    <mergeCell ref="B12:B14"/>
    <mergeCell ref="P12:U12"/>
    <mergeCell ref="D12:I12"/>
    <mergeCell ref="J12:O12"/>
    <mergeCell ref="P13:U13"/>
    <mergeCell ref="D13:I13"/>
    <mergeCell ref="J13:O13"/>
    <mergeCell ref="P14:U14"/>
    <mergeCell ref="D14:I14"/>
    <mergeCell ref="F17:G17"/>
    <mergeCell ref="L17:M17"/>
    <mergeCell ref="R18:S18"/>
    <mergeCell ref="F18:G18"/>
    <mergeCell ref="L18:M18"/>
    <mergeCell ref="R19:S19"/>
    <mergeCell ref="F19:G19"/>
    <mergeCell ref="L19:M19"/>
    <mergeCell ref="J14:O14"/>
    <mergeCell ref="P15:U15"/>
    <mergeCell ref="D15:I15"/>
    <mergeCell ref="J15:O15"/>
    <mergeCell ref="R22:S22"/>
    <mergeCell ref="F22:G22"/>
    <mergeCell ref="L22:M22"/>
    <mergeCell ref="R23:S23"/>
    <mergeCell ref="F23:G23"/>
    <mergeCell ref="L23:M23"/>
    <mergeCell ref="R20:S20"/>
    <mergeCell ref="F20:G20"/>
    <mergeCell ref="L20:M20"/>
    <mergeCell ref="R21:S21"/>
    <mergeCell ref="F21:G21"/>
    <mergeCell ref="L21:M21"/>
    <mergeCell ref="R26:S26"/>
    <mergeCell ref="F26:G26"/>
    <mergeCell ref="L26:M26"/>
    <mergeCell ref="P27:U27"/>
    <mergeCell ref="D27:I27"/>
    <mergeCell ref="J27:O27"/>
    <mergeCell ref="R24:S24"/>
    <mergeCell ref="F24:G24"/>
    <mergeCell ref="L24:M24"/>
    <mergeCell ref="R25:S25"/>
    <mergeCell ref="F25:G25"/>
    <mergeCell ref="L25:M25"/>
    <mergeCell ref="L30:M30"/>
    <mergeCell ref="R31:S31"/>
    <mergeCell ref="F31:G31"/>
    <mergeCell ref="L31:M31"/>
    <mergeCell ref="L28:M28"/>
    <mergeCell ref="N28:O28"/>
    <mergeCell ref="R29:S29"/>
    <mergeCell ref="T29:U29"/>
    <mergeCell ref="F29:G29"/>
    <mergeCell ref="H29:I29"/>
    <mergeCell ref="L29:M29"/>
    <mergeCell ref="N29:O29"/>
    <mergeCell ref="R28:S28"/>
    <mergeCell ref="T28:U28"/>
    <mergeCell ref="F28:G28"/>
    <mergeCell ref="H28:I28"/>
    <mergeCell ref="R30:S30"/>
    <mergeCell ref="T30:U30"/>
    <mergeCell ref="F30:G30"/>
    <mergeCell ref="N31:O31"/>
    <mergeCell ref="H30:I30"/>
    <mergeCell ref="N35:O35"/>
    <mergeCell ref="F32:G32"/>
    <mergeCell ref="L32:M32"/>
    <mergeCell ref="R33:S33"/>
    <mergeCell ref="F33:G33"/>
    <mergeCell ref="L33:M33"/>
    <mergeCell ref="R34:S34"/>
    <mergeCell ref="F34:G34"/>
    <mergeCell ref="L34:M34"/>
    <mergeCell ref="R32:S32"/>
    <mergeCell ref="A37:A40"/>
    <mergeCell ref="B37:B40"/>
    <mergeCell ref="P37:Q37"/>
    <mergeCell ref="R37:U37"/>
    <mergeCell ref="D37:E37"/>
    <mergeCell ref="F37:I37"/>
    <mergeCell ref="J37:K37"/>
    <mergeCell ref="P35:S35"/>
    <mergeCell ref="T35:U35"/>
    <mergeCell ref="D35:G35"/>
    <mergeCell ref="H35:I35"/>
    <mergeCell ref="J35:M35"/>
    <mergeCell ref="A28:A35"/>
    <mergeCell ref="B28:B35"/>
    <mergeCell ref="L37:O37"/>
    <mergeCell ref="P38:Q38"/>
    <mergeCell ref="R38:U38"/>
    <mergeCell ref="D38:E38"/>
    <mergeCell ref="F38:I38"/>
    <mergeCell ref="J38:K38"/>
    <mergeCell ref="L38:O38"/>
    <mergeCell ref="P36:U36"/>
    <mergeCell ref="D36:I36"/>
    <mergeCell ref="J36:O36"/>
    <mergeCell ref="P40:Q40"/>
    <mergeCell ref="R40:U40"/>
    <mergeCell ref="D40:E40"/>
    <mergeCell ref="F40:I40"/>
    <mergeCell ref="J40:K40"/>
    <mergeCell ref="L40:O40"/>
    <mergeCell ref="P39:Q39"/>
    <mergeCell ref="R39:U39"/>
    <mergeCell ref="D39:E39"/>
    <mergeCell ref="F39:I39"/>
    <mergeCell ref="J39:K39"/>
    <mergeCell ref="L39:O39"/>
    <mergeCell ref="P41:U41"/>
    <mergeCell ref="D41:I41"/>
    <mergeCell ref="J41:O41"/>
    <mergeCell ref="A42:A44"/>
    <mergeCell ref="B42:B44"/>
    <mergeCell ref="Q42:R42"/>
    <mergeCell ref="S42:U42"/>
    <mergeCell ref="E42:F42"/>
    <mergeCell ref="G42:I42"/>
    <mergeCell ref="K42:L42"/>
    <mergeCell ref="Q44:R44"/>
    <mergeCell ref="S44:U44"/>
    <mergeCell ref="E44:F44"/>
    <mergeCell ref="G44:I44"/>
    <mergeCell ref="K44:L44"/>
    <mergeCell ref="M44:O44"/>
    <mergeCell ref="M42:O42"/>
    <mergeCell ref="Q43:R43"/>
    <mergeCell ref="S43:U43"/>
    <mergeCell ref="E43:F43"/>
    <mergeCell ref="G43:I43"/>
    <mergeCell ref="K43:L43"/>
    <mergeCell ref="M43:O43"/>
    <mergeCell ref="P45:U45"/>
    <mergeCell ref="D45:I45"/>
    <mergeCell ref="J45:O45"/>
    <mergeCell ref="A46:A55"/>
    <mergeCell ref="B46:B55"/>
    <mergeCell ref="P46:U46"/>
    <mergeCell ref="D46:I46"/>
    <mergeCell ref="J46:O46"/>
    <mergeCell ref="P47:U47"/>
    <mergeCell ref="D47:I47"/>
    <mergeCell ref="C54:C55"/>
    <mergeCell ref="P54:U55"/>
    <mergeCell ref="D54:I55"/>
    <mergeCell ref="J54:O55"/>
    <mergeCell ref="P52:U52"/>
    <mergeCell ref="D52:I52"/>
    <mergeCell ref="J52:O52"/>
    <mergeCell ref="P53:U53"/>
    <mergeCell ref="D53:I53"/>
    <mergeCell ref="J53:O53"/>
    <mergeCell ref="P50:U50"/>
    <mergeCell ref="D50:I50"/>
    <mergeCell ref="J50:O50"/>
    <mergeCell ref="P51:U51"/>
    <mergeCell ref="D51:I51"/>
    <mergeCell ref="J51:O51"/>
    <mergeCell ref="J47:O47"/>
    <mergeCell ref="P48:U48"/>
    <mergeCell ref="D48:I48"/>
    <mergeCell ref="J48:O48"/>
    <mergeCell ref="P49:U49"/>
    <mergeCell ref="D49:I49"/>
    <mergeCell ref="J49:O49"/>
  </mergeCells>
  <pageMargins left="0.7" right="0.7" top="0.78740157499999996" bottom="0.78740157499999996" header="0.3" footer="0.3"/>
  <pageSetup paperSize="9" orientation="portrait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zoomScale="60" zoomScaleNormal="60" workbookViewId="0">
      <pane xSplit="3" topLeftCell="D1" activePane="topRight" state="frozen"/>
      <selection pane="topRight" activeCell="T29" sqref="T29:U29"/>
    </sheetView>
  </sheetViews>
  <sheetFormatPr baseColWidth="10" defaultColWidth="11.42578125" defaultRowHeight="15" x14ac:dyDescent="0.25"/>
  <cols>
    <col min="1" max="1" width="11.42578125" style="5"/>
    <col min="2" max="2" width="44.140625" style="5" customWidth="1"/>
    <col min="3" max="3" width="59.28515625" style="5" customWidth="1"/>
    <col min="4" max="4" width="1.7109375" style="20" customWidth="1"/>
    <col min="5" max="5" width="49.42578125" style="5" customWidth="1"/>
    <col min="6" max="6" width="32.42578125" style="5" customWidth="1"/>
    <col min="7" max="7" width="19" style="5" customWidth="1"/>
    <col min="8" max="8" width="21" style="5" customWidth="1"/>
    <col min="9" max="9" width="45.140625" style="5" customWidth="1"/>
    <col min="10" max="10" width="39.140625" style="5" customWidth="1"/>
    <col min="11" max="11" width="1.7109375" style="20" customWidth="1"/>
    <col min="12" max="12" width="39.5703125" style="5" customWidth="1"/>
    <col min="13" max="13" width="33.28515625" style="5" customWidth="1"/>
    <col min="14" max="14" width="11.42578125" style="5"/>
    <col min="15" max="15" width="32.5703125" style="5" customWidth="1"/>
    <col min="16" max="16" width="49.140625" style="5" customWidth="1"/>
    <col min="17" max="17" width="71.85546875" style="5" customWidth="1"/>
    <col min="18" max="18" width="29.85546875" style="5" customWidth="1"/>
    <col min="19" max="19" width="57.42578125" style="5" customWidth="1"/>
    <col min="20" max="20" width="35.7109375" style="5" customWidth="1"/>
    <col min="21" max="21" width="11.42578125" style="5"/>
    <col min="22" max="22" width="36.140625" style="5" customWidth="1"/>
    <col min="23" max="23" width="41.140625" style="5" customWidth="1"/>
    <col min="24" max="16384" width="11.42578125" style="5"/>
  </cols>
  <sheetData>
    <row r="1" spans="1:23" ht="15.75" thickBot="1" x14ac:dyDescent="0.3"/>
    <row r="2" spans="1:23" ht="15.75" thickBot="1" x14ac:dyDescent="0.3">
      <c r="A2" s="18"/>
      <c r="B2" s="19" t="s">
        <v>39</v>
      </c>
      <c r="C2" s="19" t="s">
        <v>40</v>
      </c>
      <c r="D2" s="55"/>
      <c r="E2" s="268" t="s">
        <v>47</v>
      </c>
      <c r="F2" s="269"/>
      <c r="G2" s="269"/>
      <c r="H2" s="269"/>
      <c r="I2" s="269"/>
      <c r="J2" s="269"/>
      <c r="K2" s="55"/>
      <c r="L2" s="270" t="s">
        <v>48</v>
      </c>
      <c r="M2" s="269"/>
      <c r="N2" s="269"/>
      <c r="O2" s="269"/>
      <c r="P2" s="269"/>
      <c r="Q2" s="269"/>
      <c r="R2" s="268" t="s">
        <v>158</v>
      </c>
      <c r="S2" s="269"/>
      <c r="T2" s="269"/>
      <c r="U2" s="269"/>
      <c r="V2" s="269"/>
      <c r="W2" s="269"/>
    </row>
    <row r="3" spans="1:23" ht="15" customHeight="1" x14ac:dyDescent="0.25">
      <c r="A3" s="274" t="s">
        <v>38</v>
      </c>
      <c r="B3" s="277" t="s">
        <v>37</v>
      </c>
      <c r="C3" s="39" t="s">
        <v>2</v>
      </c>
      <c r="D3" s="21"/>
      <c r="E3" s="280" t="s">
        <v>151</v>
      </c>
      <c r="F3" s="281"/>
      <c r="G3" s="281"/>
      <c r="H3" s="281"/>
      <c r="I3" s="281"/>
      <c r="J3" s="281"/>
      <c r="K3" s="80"/>
      <c r="L3" s="280" t="s">
        <v>109</v>
      </c>
      <c r="M3" s="281"/>
      <c r="N3" s="281"/>
      <c r="O3" s="281"/>
      <c r="P3" s="281"/>
      <c r="Q3" s="281"/>
      <c r="R3" s="280" t="s">
        <v>102</v>
      </c>
      <c r="S3" s="281"/>
      <c r="T3" s="281"/>
      <c r="U3" s="281"/>
      <c r="V3" s="281"/>
      <c r="W3" s="281"/>
    </row>
    <row r="4" spans="1:23" x14ac:dyDescent="0.25">
      <c r="A4" s="275"/>
      <c r="B4" s="278"/>
      <c r="C4" s="40" t="s">
        <v>3</v>
      </c>
      <c r="D4" s="21"/>
      <c r="E4" s="285" t="s">
        <v>103</v>
      </c>
      <c r="F4" s="286"/>
      <c r="G4" s="286"/>
      <c r="H4" s="286"/>
      <c r="I4" s="286"/>
      <c r="J4" s="286"/>
      <c r="K4" s="80"/>
      <c r="L4" s="285" t="s">
        <v>126</v>
      </c>
      <c r="M4" s="286"/>
      <c r="N4" s="286"/>
      <c r="O4" s="286"/>
      <c r="P4" s="286"/>
      <c r="Q4" s="286"/>
      <c r="R4" s="285" t="s">
        <v>103</v>
      </c>
      <c r="S4" s="286"/>
      <c r="T4" s="286"/>
      <c r="U4" s="286"/>
      <c r="V4" s="286"/>
      <c r="W4" s="286"/>
    </row>
    <row r="5" spans="1:23" x14ac:dyDescent="0.25">
      <c r="A5" s="275"/>
      <c r="B5" s="278"/>
      <c r="C5" s="56" t="s">
        <v>98</v>
      </c>
      <c r="D5" s="8"/>
      <c r="E5" s="261" t="s">
        <v>104</v>
      </c>
      <c r="F5" s="261"/>
      <c r="G5" s="261"/>
      <c r="H5" s="261"/>
      <c r="I5" s="261"/>
      <c r="J5" s="261"/>
      <c r="K5" s="81"/>
      <c r="L5" s="261" t="s">
        <v>127</v>
      </c>
      <c r="M5" s="261"/>
      <c r="N5" s="261"/>
      <c r="O5" s="261"/>
      <c r="P5" s="261"/>
      <c r="Q5" s="261"/>
      <c r="R5" s="261" t="s">
        <v>104</v>
      </c>
      <c r="S5" s="261"/>
      <c r="T5" s="261"/>
      <c r="U5" s="261"/>
      <c r="V5" s="261"/>
      <c r="W5" s="261"/>
    </row>
    <row r="6" spans="1:23" ht="15.75" thickBot="1" x14ac:dyDescent="0.3">
      <c r="A6" s="276"/>
      <c r="B6" s="279"/>
      <c r="C6" s="49" t="s">
        <v>65</v>
      </c>
      <c r="D6" s="21"/>
      <c r="E6" s="265" t="s">
        <v>105</v>
      </c>
      <c r="F6" s="266"/>
      <c r="G6" s="266"/>
      <c r="H6" s="266"/>
      <c r="I6" s="266"/>
      <c r="J6" s="267"/>
      <c r="K6" s="80"/>
      <c r="L6" s="265" t="s">
        <v>105</v>
      </c>
      <c r="M6" s="266"/>
      <c r="N6" s="266"/>
      <c r="O6" s="266"/>
      <c r="P6" s="266"/>
      <c r="Q6" s="267"/>
      <c r="R6" s="265" t="s">
        <v>105</v>
      </c>
      <c r="S6" s="266"/>
      <c r="T6" s="266"/>
      <c r="U6" s="266"/>
      <c r="V6" s="266"/>
      <c r="W6" s="267"/>
    </row>
    <row r="7" spans="1:23" ht="15.75" thickBot="1" x14ac:dyDescent="0.3">
      <c r="A7" s="9"/>
      <c r="B7" s="11"/>
      <c r="C7" s="48"/>
      <c r="E7" s="147"/>
      <c r="F7" s="148"/>
      <c r="G7" s="148"/>
      <c r="H7" s="148"/>
      <c r="I7" s="148"/>
      <c r="J7" s="148"/>
      <c r="K7" s="82"/>
      <c r="L7" s="147"/>
      <c r="M7" s="148"/>
      <c r="N7" s="148"/>
      <c r="O7" s="148"/>
      <c r="P7" s="148"/>
      <c r="Q7" s="148"/>
      <c r="R7" s="147"/>
      <c r="S7" s="148"/>
      <c r="T7" s="148"/>
      <c r="U7" s="148"/>
      <c r="V7" s="148"/>
      <c r="W7" s="148"/>
    </row>
    <row r="8" spans="1:23" ht="15" customHeight="1" thickBot="1" x14ac:dyDescent="0.3">
      <c r="A8" s="254" t="s">
        <v>36</v>
      </c>
      <c r="B8" s="255" t="s">
        <v>92</v>
      </c>
      <c r="C8" s="46" t="s">
        <v>5</v>
      </c>
      <c r="E8" s="256" t="s">
        <v>213</v>
      </c>
      <c r="F8" s="257"/>
      <c r="G8" s="257"/>
      <c r="H8" s="257"/>
      <c r="I8" s="257"/>
      <c r="J8" s="257"/>
      <c r="K8" s="82"/>
      <c r="L8" s="256" t="s">
        <v>214</v>
      </c>
      <c r="M8" s="257"/>
      <c r="N8" s="257"/>
      <c r="O8" s="257"/>
      <c r="P8" s="257"/>
      <c r="Q8" s="257"/>
      <c r="R8" s="256" t="s">
        <v>230</v>
      </c>
      <c r="S8" s="257"/>
      <c r="T8" s="257"/>
      <c r="U8" s="257"/>
      <c r="V8" s="257"/>
      <c r="W8" s="257"/>
    </row>
    <row r="9" spans="1:23" ht="15.75" thickBot="1" x14ac:dyDescent="0.3">
      <c r="A9" s="254"/>
      <c r="B9" s="255"/>
      <c r="C9" s="12" t="s">
        <v>6</v>
      </c>
      <c r="E9" s="256" t="s">
        <v>213</v>
      </c>
      <c r="F9" s="257"/>
      <c r="G9" s="257"/>
      <c r="H9" s="257"/>
      <c r="I9" s="257"/>
      <c r="J9" s="257"/>
      <c r="K9" s="82"/>
      <c r="L9" s="256" t="s">
        <v>214</v>
      </c>
      <c r="M9" s="257"/>
      <c r="N9" s="257"/>
      <c r="O9" s="257"/>
      <c r="P9" s="257"/>
      <c r="Q9" s="257"/>
      <c r="R9" s="256" t="s">
        <v>216</v>
      </c>
      <c r="S9" s="257"/>
      <c r="T9" s="257"/>
      <c r="U9" s="257"/>
      <c r="V9" s="257"/>
      <c r="W9" s="257"/>
    </row>
    <row r="10" spans="1:23" ht="15.75" thickBot="1" x14ac:dyDescent="0.3">
      <c r="A10" s="254"/>
      <c r="B10" s="255"/>
      <c r="C10" s="47" t="s">
        <v>7</v>
      </c>
      <c r="E10" s="256" t="s">
        <v>231</v>
      </c>
      <c r="F10" s="257"/>
      <c r="G10" s="257"/>
      <c r="H10" s="257"/>
      <c r="I10" s="257"/>
      <c r="J10" s="257"/>
      <c r="K10" s="82"/>
      <c r="L10" s="256" t="s">
        <v>217</v>
      </c>
      <c r="M10" s="257"/>
      <c r="N10" s="257"/>
      <c r="O10" s="257"/>
      <c r="P10" s="257"/>
      <c r="Q10" s="257"/>
      <c r="R10" s="256" t="s">
        <v>216</v>
      </c>
      <c r="S10" s="257"/>
      <c r="T10" s="257"/>
      <c r="U10" s="257"/>
      <c r="V10" s="257"/>
      <c r="W10" s="257"/>
    </row>
    <row r="11" spans="1:23" ht="15.75" thickBot="1" x14ac:dyDescent="0.3">
      <c r="A11" s="10"/>
      <c r="B11" s="13"/>
      <c r="C11" s="13"/>
      <c r="E11" s="145"/>
      <c r="F11" s="146"/>
      <c r="G11" s="146"/>
      <c r="H11" s="146"/>
      <c r="I11" s="146"/>
      <c r="J11" s="146"/>
      <c r="K11" s="82"/>
      <c r="L11" s="145"/>
      <c r="M11" s="146"/>
      <c r="N11" s="146"/>
      <c r="O11" s="146"/>
      <c r="P11" s="146"/>
      <c r="Q11" s="146"/>
      <c r="R11" s="145"/>
      <c r="S11" s="146"/>
      <c r="T11" s="146"/>
      <c r="U11" s="146"/>
      <c r="V11" s="146"/>
      <c r="W11" s="146"/>
    </row>
    <row r="12" spans="1:23" ht="15" customHeight="1" x14ac:dyDescent="0.25">
      <c r="A12" s="242" t="s">
        <v>8</v>
      </c>
      <c r="B12" s="245" t="s">
        <v>93</v>
      </c>
      <c r="C12" s="44" t="s">
        <v>66</v>
      </c>
      <c r="E12" s="248" t="s">
        <v>163</v>
      </c>
      <c r="F12" s="249"/>
      <c r="G12" s="249"/>
      <c r="H12" s="249"/>
      <c r="I12" s="249"/>
      <c r="J12" s="249"/>
      <c r="K12" s="82"/>
      <c r="L12" s="248" t="s">
        <v>128</v>
      </c>
      <c r="M12" s="249"/>
      <c r="N12" s="249"/>
      <c r="O12" s="249"/>
      <c r="P12" s="249"/>
      <c r="Q12" s="249"/>
      <c r="R12" s="248" t="s">
        <v>124</v>
      </c>
      <c r="S12" s="249"/>
      <c r="T12" s="249"/>
      <c r="U12" s="249"/>
      <c r="V12" s="249"/>
      <c r="W12" s="249"/>
    </row>
    <row r="13" spans="1:23" x14ac:dyDescent="0.25">
      <c r="A13" s="243"/>
      <c r="B13" s="246"/>
      <c r="C13" s="14" t="s">
        <v>73</v>
      </c>
      <c r="E13" s="251" t="s">
        <v>161</v>
      </c>
      <c r="F13" s="200"/>
      <c r="G13" s="200"/>
      <c r="H13" s="200"/>
      <c r="I13" s="200"/>
      <c r="J13" s="200"/>
      <c r="K13" s="82"/>
      <c r="L13" s="251" t="s">
        <v>129</v>
      </c>
      <c r="M13" s="200"/>
      <c r="N13" s="200"/>
      <c r="O13" s="200"/>
      <c r="P13" s="200"/>
      <c r="Q13" s="200"/>
      <c r="R13" s="251" t="s">
        <v>107</v>
      </c>
      <c r="S13" s="200"/>
      <c r="T13" s="200"/>
      <c r="U13" s="200"/>
      <c r="V13" s="200"/>
      <c r="W13" s="200"/>
    </row>
    <row r="14" spans="1:23" ht="15.75" thickBot="1" x14ac:dyDescent="0.3">
      <c r="A14" s="244"/>
      <c r="B14" s="247"/>
      <c r="C14" s="45" t="s">
        <v>10</v>
      </c>
      <c r="E14" s="253" t="s">
        <v>232</v>
      </c>
      <c r="F14" s="196"/>
      <c r="G14" s="196"/>
      <c r="H14" s="196"/>
      <c r="I14" s="196"/>
      <c r="J14" s="196"/>
      <c r="K14" s="82"/>
      <c r="L14" s="253" t="s">
        <v>219</v>
      </c>
      <c r="M14" s="196"/>
      <c r="N14" s="196"/>
      <c r="O14" s="196"/>
      <c r="P14" s="196"/>
      <c r="Q14" s="196"/>
      <c r="R14" s="253" t="s">
        <v>125</v>
      </c>
      <c r="S14" s="196"/>
      <c r="T14" s="196"/>
      <c r="U14" s="196"/>
      <c r="V14" s="196"/>
      <c r="W14" s="196"/>
    </row>
    <row r="15" spans="1:23" ht="15.75" thickBot="1" x14ac:dyDescent="0.3">
      <c r="A15" s="10"/>
      <c r="B15" s="13"/>
      <c r="C15" s="13"/>
      <c r="E15" s="145"/>
      <c r="F15" s="146"/>
      <c r="G15" s="146"/>
      <c r="H15" s="146"/>
      <c r="I15" s="146"/>
      <c r="J15" s="146"/>
      <c r="K15" s="82"/>
      <c r="L15" s="145"/>
      <c r="M15" s="146"/>
      <c r="N15" s="146"/>
      <c r="O15" s="146"/>
      <c r="P15" s="146"/>
      <c r="Q15" s="146"/>
      <c r="R15" s="145"/>
      <c r="S15" s="146"/>
      <c r="T15" s="146"/>
      <c r="U15" s="146"/>
      <c r="V15" s="146"/>
      <c r="W15" s="146"/>
    </row>
    <row r="16" spans="1:23" ht="15.75" customHeight="1" thickBot="1" x14ac:dyDescent="0.3">
      <c r="A16" s="239" t="s">
        <v>11</v>
      </c>
      <c r="B16" s="215" t="s">
        <v>94</v>
      </c>
      <c r="C16" s="43" t="s">
        <v>89</v>
      </c>
      <c r="E16" s="64" t="s">
        <v>32</v>
      </c>
      <c r="F16" s="66" t="s">
        <v>70</v>
      </c>
      <c r="G16" s="214" t="s">
        <v>20</v>
      </c>
      <c r="H16" s="212"/>
      <c r="I16" s="66" t="s">
        <v>91</v>
      </c>
      <c r="J16" s="66" t="s">
        <v>23</v>
      </c>
      <c r="K16" s="82"/>
      <c r="L16" s="64" t="s">
        <v>32</v>
      </c>
      <c r="M16" s="65" t="s">
        <v>70</v>
      </c>
      <c r="N16" s="214" t="s">
        <v>20</v>
      </c>
      <c r="O16" s="212"/>
      <c r="P16" s="66" t="s">
        <v>91</v>
      </c>
      <c r="Q16" s="66" t="s">
        <v>23</v>
      </c>
      <c r="R16" s="64" t="s">
        <v>32</v>
      </c>
      <c r="S16" s="66" t="s">
        <v>70</v>
      </c>
      <c r="T16" s="214" t="s">
        <v>20</v>
      </c>
      <c r="U16" s="212"/>
      <c r="V16" s="66" t="s">
        <v>91</v>
      </c>
      <c r="W16" s="66" t="s">
        <v>23</v>
      </c>
    </row>
    <row r="17" spans="1:23" ht="15" customHeight="1" x14ac:dyDescent="0.25">
      <c r="A17" s="240"/>
      <c r="B17" s="216"/>
      <c r="C17" s="41" t="s">
        <v>12</v>
      </c>
      <c r="E17" s="67" t="s">
        <v>153</v>
      </c>
      <c r="F17" s="68" t="s">
        <v>154</v>
      </c>
      <c r="G17" s="223" t="s">
        <v>159</v>
      </c>
      <c r="H17" s="224"/>
      <c r="I17" s="69">
        <v>250</v>
      </c>
      <c r="J17" s="69" t="s">
        <v>183</v>
      </c>
      <c r="K17" s="82"/>
      <c r="L17" s="67" t="s">
        <v>134</v>
      </c>
      <c r="M17" s="68" t="s">
        <v>132</v>
      </c>
      <c r="N17" s="223" t="s">
        <v>133</v>
      </c>
      <c r="O17" s="224"/>
      <c r="P17" s="69" t="s">
        <v>131</v>
      </c>
      <c r="Q17" s="69" t="s">
        <v>220</v>
      </c>
      <c r="R17" s="67" t="s">
        <v>206</v>
      </c>
      <c r="S17" s="68" t="s">
        <v>209</v>
      </c>
      <c r="T17" s="223" t="s">
        <v>123</v>
      </c>
      <c r="U17" s="224"/>
      <c r="V17" s="69" t="s">
        <v>120</v>
      </c>
      <c r="W17" s="69" t="s">
        <v>233</v>
      </c>
    </row>
    <row r="18" spans="1:23" x14ac:dyDescent="0.25">
      <c r="A18" s="240"/>
      <c r="B18" s="216"/>
      <c r="C18" s="15" t="s">
        <v>13</v>
      </c>
      <c r="E18" s="67" t="s">
        <v>105</v>
      </c>
      <c r="F18" s="68" t="s">
        <v>105</v>
      </c>
      <c r="G18" s="223" t="s">
        <v>105</v>
      </c>
      <c r="H18" s="224"/>
      <c r="I18" s="69" t="s">
        <v>105</v>
      </c>
      <c r="J18" s="69" t="s">
        <v>105</v>
      </c>
      <c r="K18" s="82"/>
      <c r="L18" s="67" t="s">
        <v>105</v>
      </c>
      <c r="M18" s="68" t="s">
        <v>105</v>
      </c>
      <c r="N18" s="223" t="s">
        <v>105</v>
      </c>
      <c r="O18" s="224"/>
      <c r="P18" s="69" t="s">
        <v>105</v>
      </c>
      <c r="Q18" s="69" t="s">
        <v>105</v>
      </c>
      <c r="R18" s="67" t="s">
        <v>105</v>
      </c>
      <c r="S18" s="68" t="s">
        <v>105</v>
      </c>
      <c r="T18" s="223" t="s">
        <v>105</v>
      </c>
      <c r="U18" s="224"/>
      <c r="V18" s="69" t="s">
        <v>105</v>
      </c>
      <c r="W18" s="69" t="s">
        <v>105</v>
      </c>
    </row>
    <row r="19" spans="1:23" x14ac:dyDescent="0.25">
      <c r="A19" s="240"/>
      <c r="B19" s="216"/>
      <c r="C19" s="15" t="s">
        <v>14</v>
      </c>
      <c r="E19" s="67" t="s">
        <v>105</v>
      </c>
      <c r="F19" s="68" t="s">
        <v>105</v>
      </c>
      <c r="G19" s="223" t="s">
        <v>105</v>
      </c>
      <c r="H19" s="224"/>
      <c r="I19" s="69" t="s">
        <v>105</v>
      </c>
      <c r="J19" s="69" t="s">
        <v>105</v>
      </c>
      <c r="K19" s="82"/>
      <c r="L19" s="67" t="s">
        <v>105</v>
      </c>
      <c r="M19" s="68" t="s">
        <v>105</v>
      </c>
      <c r="N19" s="223" t="s">
        <v>105</v>
      </c>
      <c r="O19" s="224"/>
      <c r="P19" s="69" t="s">
        <v>105</v>
      </c>
      <c r="Q19" s="69" t="s">
        <v>105</v>
      </c>
      <c r="R19" s="67" t="s">
        <v>105</v>
      </c>
      <c r="S19" s="68" t="s">
        <v>105</v>
      </c>
      <c r="T19" s="223" t="s">
        <v>105</v>
      </c>
      <c r="U19" s="224"/>
      <c r="V19" s="69" t="s">
        <v>105</v>
      </c>
      <c r="W19" s="69" t="s">
        <v>105</v>
      </c>
    </row>
    <row r="20" spans="1:23" x14ac:dyDescent="0.25">
      <c r="A20" s="240"/>
      <c r="B20" s="216"/>
      <c r="C20" s="15" t="s">
        <v>15</v>
      </c>
      <c r="E20" s="71" t="s">
        <v>106</v>
      </c>
      <c r="F20" s="83">
        <v>0.63559027777777777</v>
      </c>
      <c r="G20" s="141" t="s">
        <v>112</v>
      </c>
      <c r="H20" s="143"/>
      <c r="I20" s="62" t="s">
        <v>152</v>
      </c>
      <c r="J20" s="69" t="s">
        <v>234</v>
      </c>
      <c r="K20" s="82"/>
      <c r="L20" s="67" t="s">
        <v>105</v>
      </c>
      <c r="M20" s="68" t="s">
        <v>105</v>
      </c>
      <c r="N20" s="223" t="s">
        <v>105</v>
      </c>
      <c r="O20" s="224"/>
      <c r="P20" s="69" t="s">
        <v>105</v>
      </c>
      <c r="Q20" s="69" t="s">
        <v>105</v>
      </c>
      <c r="R20" s="71" t="s">
        <v>106</v>
      </c>
      <c r="S20" s="83">
        <v>0.63559027777777777</v>
      </c>
      <c r="T20" s="141" t="s">
        <v>112</v>
      </c>
      <c r="U20" s="143"/>
      <c r="V20" s="62" t="s">
        <v>113</v>
      </c>
      <c r="W20" s="69" t="s">
        <v>235</v>
      </c>
    </row>
    <row r="21" spans="1:23" x14ac:dyDescent="0.25">
      <c r="A21" s="240"/>
      <c r="B21" s="216"/>
      <c r="C21" s="15" t="s">
        <v>16</v>
      </c>
      <c r="E21" s="67" t="s">
        <v>105</v>
      </c>
      <c r="F21" s="68" t="s">
        <v>105</v>
      </c>
      <c r="G21" s="223" t="s">
        <v>105</v>
      </c>
      <c r="H21" s="224"/>
      <c r="I21" s="69" t="s">
        <v>105</v>
      </c>
      <c r="J21" s="69" t="s">
        <v>105</v>
      </c>
      <c r="K21" s="82"/>
      <c r="L21" s="67" t="s">
        <v>105</v>
      </c>
      <c r="M21" s="68" t="s">
        <v>105</v>
      </c>
      <c r="N21" s="223" t="s">
        <v>105</v>
      </c>
      <c r="O21" s="224"/>
      <c r="P21" s="69" t="s">
        <v>105</v>
      </c>
      <c r="Q21" s="69" t="s">
        <v>105</v>
      </c>
      <c r="R21" s="67" t="s">
        <v>105</v>
      </c>
      <c r="S21" s="68" t="s">
        <v>105</v>
      </c>
      <c r="T21" s="223" t="s">
        <v>105</v>
      </c>
      <c r="U21" s="224"/>
      <c r="V21" s="69" t="s">
        <v>105</v>
      </c>
      <c r="W21" s="69" t="s">
        <v>105</v>
      </c>
    </row>
    <row r="22" spans="1:23" x14ac:dyDescent="0.25">
      <c r="A22" s="240"/>
      <c r="B22" s="216"/>
      <c r="C22" s="15" t="s">
        <v>17</v>
      </c>
      <c r="E22" s="67" t="s">
        <v>105</v>
      </c>
      <c r="F22" s="68" t="s">
        <v>105</v>
      </c>
      <c r="G22" s="223" t="s">
        <v>105</v>
      </c>
      <c r="H22" s="224"/>
      <c r="I22" s="69" t="s">
        <v>105</v>
      </c>
      <c r="J22" s="69" t="s">
        <v>105</v>
      </c>
      <c r="K22" s="82"/>
      <c r="L22" s="67" t="s">
        <v>105</v>
      </c>
      <c r="M22" s="68" t="s">
        <v>105</v>
      </c>
      <c r="N22" s="223" t="s">
        <v>105</v>
      </c>
      <c r="O22" s="224"/>
      <c r="P22" s="69" t="s">
        <v>105</v>
      </c>
      <c r="Q22" s="69" t="s">
        <v>105</v>
      </c>
      <c r="R22" s="67" t="s">
        <v>105</v>
      </c>
      <c r="S22" s="68" t="s">
        <v>105</v>
      </c>
      <c r="T22" s="223" t="s">
        <v>105</v>
      </c>
      <c r="U22" s="224"/>
      <c r="V22" s="69" t="s">
        <v>105</v>
      </c>
      <c r="W22" s="69" t="s">
        <v>105</v>
      </c>
    </row>
    <row r="23" spans="1:23" ht="15.75" thickBot="1" x14ac:dyDescent="0.3">
      <c r="A23" s="240"/>
      <c r="B23" s="216"/>
      <c r="C23" s="32" t="s">
        <v>130</v>
      </c>
      <c r="E23" s="67" t="s">
        <v>105</v>
      </c>
      <c r="F23" s="68" t="s">
        <v>105</v>
      </c>
      <c r="G23" s="223" t="s">
        <v>105</v>
      </c>
      <c r="H23" s="224"/>
      <c r="I23" s="69" t="s">
        <v>105</v>
      </c>
      <c r="J23" s="69" t="s">
        <v>105</v>
      </c>
      <c r="K23" s="82"/>
      <c r="L23" s="72" t="s">
        <v>135</v>
      </c>
      <c r="M23" s="73">
        <v>0.53611111111111109</v>
      </c>
      <c r="N23" s="236" t="s">
        <v>208</v>
      </c>
      <c r="O23" s="237"/>
      <c r="P23" s="74" t="s">
        <v>131</v>
      </c>
      <c r="Q23" s="69" t="s">
        <v>222</v>
      </c>
      <c r="R23" s="67" t="s">
        <v>105</v>
      </c>
      <c r="S23" s="68" t="s">
        <v>105</v>
      </c>
      <c r="T23" s="223" t="s">
        <v>105</v>
      </c>
      <c r="U23" s="224"/>
      <c r="V23" s="69" t="s">
        <v>105</v>
      </c>
      <c r="W23" s="69" t="s">
        <v>105</v>
      </c>
    </row>
    <row r="24" spans="1:23" ht="18" thickBot="1" x14ac:dyDescent="0.3">
      <c r="A24" s="240"/>
      <c r="B24" s="216"/>
      <c r="C24" s="43" t="s">
        <v>87</v>
      </c>
      <c r="E24" s="64" t="s">
        <v>32</v>
      </c>
      <c r="F24" s="66" t="s">
        <v>88</v>
      </c>
      <c r="G24" s="214" t="s">
        <v>20</v>
      </c>
      <c r="H24" s="212"/>
      <c r="I24" s="66" t="s">
        <v>223</v>
      </c>
      <c r="J24" s="66" t="s">
        <v>23</v>
      </c>
      <c r="K24" s="82"/>
      <c r="L24" s="64" t="s">
        <v>32</v>
      </c>
      <c r="M24" s="66" t="s">
        <v>88</v>
      </c>
      <c r="N24" s="214" t="s">
        <v>20</v>
      </c>
      <c r="O24" s="212"/>
      <c r="P24" s="66" t="s">
        <v>223</v>
      </c>
      <c r="Q24" s="66" t="s">
        <v>23</v>
      </c>
      <c r="R24" s="64" t="s">
        <v>32</v>
      </c>
      <c r="S24" s="66" t="s">
        <v>88</v>
      </c>
      <c r="T24" s="214" t="s">
        <v>20</v>
      </c>
      <c r="U24" s="212"/>
      <c r="V24" s="66" t="s">
        <v>223</v>
      </c>
      <c r="W24" s="66" t="s">
        <v>23</v>
      </c>
    </row>
    <row r="25" spans="1:23" x14ac:dyDescent="0.25">
      <c r="A25" s="240"/>
      <c r="B25" s="216"/>
      <c r="C25" s="41" t="s">
        <v>19</v>
      </c>
      <c r="E25" s="67" t="s">
        <v>105</v>
      </c>
      <c r="F25" s="68" t="s">
        <v>105</v>
      </c>
      <c r="G25" s="223" t="s">
        <v>105</v>
      </c>
      <c r="H25" s="224"/>
      <c r="I25" s="69" t="s">
        <v>105</v>
      </c>
      <c r="J25" s="69" t="s">
        <v>105</v>
      </c>
      <c r="K25" s="82"/>
      <c r="L25" s="67" t="s">
        <v>105</v>
      </c>
      <c r="M25" s="68" t="s">
        <v>105</v>
      </c>
      <c r="N25" s="223" t="s">
        <v>105</v>
      </c>
      <c r="O25" s="224"/>
      <c r="P25" s="69" t="s">
        <v>105</v>
      </c>
      <c r="Q25" s="69" t="s">
        <v>105</v>
      </c>
      <c r="R25" s="67" t="s">
        <v>105</v>
      </c>
      <c r="S25" s="68" t="s">
        <v>105</v>
      </c>
      <c r="T25" s="223" t="s">
        <v>105</v>
      </c>
      <c r="U25" s="224"/>
      <c r="V25" s="69" t="s">
        <v>105</v>
      </c>
      <c r="W25" s="69" t="s">
        <v>105</v>
      </c>
    </row>
    <row r="26" spans="1:23" ht="15.75" thickBot="1" x14ac:dyDescent="0.3">
      <c r="A26" s="241"/>
      <c r="B26" s="217"/>
      <c r="C26" s="42" t="s">
        <v>18</v>
      </c>
      <c r="E26" s="67" t="s">
        <v>105</v>
      </c>
      <c r="F26" s="68" t="s">
        <v>105</v>
      </c>
      <c r="G26" s="223" t="s">
        <v>105</v>
      </c>
      <c r="H26" s="224"/>
      <c r="I26" s="69" t="s">
        <v>105</v>
      </c>
      <c r="J26" s="69" t="s">
        <v>105</v>
      </c>
      <c r="K26" s="82"/>
      <c r="L26" s="67" t="s">
        <v>105</v>
      </c>
      <c r="M26" s="68" t="s">
        <v>105</v>
      </c>
      <c r="N26" s="223" t="s">
        <v>105</v>
      </c>
      <c r="O26" s="224"/>
      <c r="P26" s="69" t="s">
        <v>105</v>
      </c>
      <c r="Q26" s="69" t="s">
        <v>105</v>
      </c>
      <c r="R26" s="67" t="s">
        <v>105</v>
      </c>
      <c r="S26" s="68" t="s">
        <v>105</v>
      </c>
      <c r="T26" s="223" t="s">
        <v>105</v>
      </c>
      <c r="U26" s="224"/>
      <c r="V26" s="69" t="s">
        <v>105</v>
      </c>
      <c r="W26" s="69" t="s">
        <v>105</v>
      </c>
    </row>
    <row r="27" spans="1:23" ht="15.75" thickBot="1" x14ac:dyDescent="0.3">
      <c r="A27" s="16"/>
      <c r="B27" s="13"/>
      <c r="C27" s="13"/>
      <c r="E27" s="145"/>
      <c r="F27" s="146"/>
      <c r="G27" s="146"/>
      <c r="H27" s="146"/>
      <c r="I27" s="146"/>
      <c r="J27" s="146"/>
      <c r="K27" s="82"/>
      <c r="L27" s="145"/>
      <c r="M27" s="146"/>
      <c r="N27" s="146"/>
      <c r="O27" s="146"/>
      <c r="P27" s="146"/>
      <c r="Q27" s="146"/>
      <c r="R27" s="145"/>
      <c r="S27" s="146"/>
      <c r="T27" s="146"/>
      <c r="U27" s="146"/>
      <c r="V27" s="146"/>
      <c r="W27" s="146"/>
    </row>
    <row r="28" spans="1:23" ht="60" customHeight="1" thickBot="1" x14ac:dyDescent="0.3">
      <c r="A28" s="149" t="s">
        <v>21</v>
      </c>
      <c r="B28" s="215" t="s">
        <v>95</v>
      </c>
      <c r="C28" s="43"/>
      <c r="E28" s="75" t="s">
        <v>32</v>
      </c>
      <c r="F28" s="66" t="s">
        <v>20</v>
      </c>
      <c r="G28" s="214" t="s">
        <v>90</v>
      </c>
      <c r="H28" s="212"/>
      <c r="I28" s="232" t="s">
        <v>23</v>
      </c>
      <c r="J28" s="232"/>
      <c r="K28" s="82"/>
      <c r="L28" s="75" t="s">
        <v>32</v>
      </c>
      <c r="M28" s="66" t="s">
        <v>20</v>
      </c>
      <c r="N28" s="214" t="s">
        <v>90</v>
      </c>
      <c r="O28" s="212"/>
      <c r="P28" s="232" t="s">
        <v>23</v>
      </c>
      <c r="Q28" s="232"/>
      <c r="R28" s="75" t="s">
        <v>32</v>
      </c>
      <c r="S28" s="66" t="s">
        <v>20</v>
      </c>
      <c r="T28" s="214" t="s">
        <v>90</v>
      </c>
      <c r="U28" s="212"/>
      <c r="V28" s="232" t="s">
        <v>23</v>
      </c>
      <c r="W28" s="232"/>
    </row>
    <row r="29" spans="1:23" ht="17.25" customHeight="1" x14ac:dyDescent="0.25">
      <c r="A29" s="150"/>
      <c r="B29" s="216"/>
      <c r="C29" s="41" t="s">
        <v>24</v>
      </c>
      <c r="E29" s="76" t="s">
        <v>155</v>
      </c>
      <c r="F29" s="69" t="s">
        <v>118</v>
      </c>
      <c r="G29" s="223" t="s">
        <v>156</v>
      </c>
      <c r="H29" s="224"/>
      <c r="I29" s="229" t="s">
        <v>224</v>
      </c>
      <c r="J29" s="229"/>
      <c r="K29" s="82"/>
      <c r="L29" s="76" t="s">
        <v>147</v>
      </c>
      <c r="M29" s="69" t="s">
        <v>136</v>
      </c>
      <c r="N29" s="223" t="s">
        <v>138</v>
      </c>
      <c r="O29" s="224"/>
      <c r="P29" s="229" t="s">
        <v>220</v>
      </c>
      <c r="Q29" s="229"/>
      <c r="R29" s="76" t="s">
        <v>145</v>
      </c>
      <c r="S29" s="69" t="s">
        <v>116</v>
      </c>
      <c r="T29" s="223" t="s">
        <v>117</v>
      </c>
      <c r="U29" s="224"/>
      <c r="V29" s="229" t="s">
        <v>236</v>
      </c>
      <c r="W29" s="229"/>
    </row>
    <row r="30" spans="1:23" ht="17.25" customHeight="1" x14ac:dyDescent="0.25">
      <c r="A30" s="150"/>
      <c r="B30" s="216"/>
      <c r="C30" s="15" t="s">
        <v>24</v>
      </c>
      <c r="E30" s="61" t="s">
        <v>162</v>
      </c>
      <c r="F30" s="62" t="s">
        <v>160</v>
      </c>
      <c r="G30" s="141" t="s">
        <v>156</v>
      </c>
      <c r="H30" s="143"/>
      <c r="I30" s="229" t="s">
        <v>224</v>
      </c>
      <c r="J30" s="229"/>
      <c r="K30" s="82"/>
      <c r="L30" s="67" t="s">
        <v>105</v>
      </c>
      <c r="M30" s="68" t="s">
        <v>105</v>
      </c>
      <c r="N30" s="223" t="s">
        <v>105</v>
      </c>
      <c r="O30" s="224"/>
      <c r="P30" s="69" t="s">
        <v>105</v>
      </c>
      <c r="Q30" s="69" t="s">
        <v>105</v>
      </c>
      <c r="R30" s="61" t="s">
        <v>146</v>
      </c>
      <c r="S30" s="62" t="s">
        <v>118</v>
      </c>
      <c r="T30" s="141" t="s">
        <v>119</v>
      </c>
      <c r="U30" s="143"/>
      <c r="V30" s="141" t="s">
        <v>237</v>
      </c>
      <c r="W30" s="143"/>
    </row>
    <row r="31" spans="1:23" x14ac:dyDescent="0.25">
      <c r="A31" s="150"/>
      <c r="B31" s="216"/>
      <c r="C31" s="15" t="s">
        <v>25</v>
      </c>
      <c r="E31" s="67" t="s">
        <v>105</v>
      </c>
      <c r="F31" s="68" t="s">
        <v>105</v>
      </c>
      <c r="G31" s="223" t="s">
        <v>105</v>
      </c>
      <c r="H31" s="224"/>
      <c r="I31" s="69" t="s">
        <v>105</v>
      </c>
      <c r="J31" s="69" t="s">
        <v>105</v>
      </c>
      <c r="K31" s="82"/>
      <c r="L31" s="61" t="s">
        <v>148</v>
      </c>
      <c r="M31" s="62" t="s">
        <v>137</v>
      </c>
      <c r="N31" s="141" t="s">
        <v>139</v>
      </c>
      <c r="O31" s="143"/>
      <c r="P31" s="229" t="s">
        <v>183</v>
      </c>
      <c r="Q31" s="229"/>
      <c r="R31" s="67" t="s">
        <v>105</v>
      </c>
      <c r="S31" s="68" t="s">
        <v>105</v>
      </c>
      <c r="T31" s="223" t="s">
        <v>105</v>
      </c>
      <c r="U31" s="224"/>
      <c r="V31" s="69" t="s">
        <v>105</v>
      </c>
      <c r="W31" s="69" t="s">
        <v>105</v>
      </c>
    </row>
    <row r="32" spans="1:23" x14ac:dyDescent="0.25">
      <c r="A32" s="150"/>
      <c r="B32" s="216"/>
      <c r="C32" s="15" t="s">
        <v>22</v>
      </c>
      <c r="E32" s="67" t="s">
        <v>105</v>
      </c>
      <c r="F32" s="68" t="s">
        <v>105</v>
      </c>
      <c r="G32" s="223" t="s">
        <v>105</v>
      </c>
      <c r="H32" s="224"/>
      <c r="I32" s="69" t="s">
        <v>105</v>
      </c>
      <c r="J32" s="69" t="s">
        <v>105</v>
      </c>
      <c r="K32" s="82"/>
      <c r="L32" s="67" t="s">
        <v>105</v>
      </c>
      <c r="M32" s="68" t="s">
        <v>105</v>
      </c>
      <c r="N32" s="223" t="s">
        <v>105</v>
      </c>
      <c r="O32" s="224"/>
      <c r="P32" s="69" t="s">
        <v>105</v>
      </c>
      <c r="Q32" s="69" t="s">
        <v>105</v>
      </c>
      <c r="R32" s="67" t="s">
        <v>105</v>
      </c>
      <c r="S32" s="68" t="s">
        <v>105</v>
      </c>
      <c r="T32" s="223" t="s">
        <v>105</v>
      </c>
      <c r="U32" s="224"/>
      <c r="V32" s="69" t="s">
        <v>105</v>
      </c>
      <c r="W32" s="69" t="s">
        <v>105</v>
      </c>
    </row>
    <row r="33" spans="1:23" x14ac:dyDescent="0.25">
      <c r="A33" s="150"/>
      <c r="B33" s="216"/>
      <c r="C33" s="15" t="s">
        <v>22</v>
      </c>
      <c r="E33" s="67" t="s">
        <v>105</v>
      </c>
      <c r="F33" s="68" t="s">
        <v>105</v>
      </c>
      <c r="G33" s="223" t="s">
        <v>105</v>
      </c>
      <c r="H33" s="224"/>
      <c r="I33" s="69" t="s">
        <v>105</v>
      </c>
      <c r="J33" s="69" t="s">
        <v>105</v>
      </c>
      <c r="K33" s="82"/>
      <c r="L33" s="67" t="s">
        <v>105</v>
      </c>
      <c r="M33" s="68" t="s">
        <v>105</v>
      </c>
      <c r="N33" s="223" t="s">
        <v>105</v>
      </c>
      <c r="O33" s="224"/>
      <c r="P33" s="69" t="s">
        <v>105</v>
      </c>
      <c r="Q33" s="69" t="s">
        <v>105</v>
      </c>
      <c r="R33" s="67" t="s">
        <v>105</v>
      </c>
      <c r="S33" s="68" t="s">
        <v>105</v>
      </c>
      <c r="T33" s="223" t="s">
        <v>105</v>
      </c>
      <c r="U33" s="224"/>
      <c r="V33" s="69" t="s">
        <v>105</v>
      </c>
      <c r="W33" s="69" t="s">
        <v>105</v>
      </c>
    </row>
    <row r="34" spans="1:23" ht="15.75" thickBot="1" x14ac:dyDescent="0.3">
      <c r="A34" s="150"/>
      <c r="B34" s="216"/>
      <c r="C34" s="42" t="s">
        <v>22</v>
      </c>
      <c r="E34" s="67" t="s">
        <v>105</v>
      </c>
      <c r="F34" s="68" t="s">
        <v>105</v>
      </c>
      <c r="G34" s="223" t="s">
        <v>105</v>
      </c>
      <c r="H34" s="224"/>
      <c r="I34" s="69" t="s">
        <v>105</v>
      </c>
      <c r="J34" s="69" t="s">
        <v>105</v>
      </c>
      <c r="K34" s="82"/>
      <c r="L34" s="67" t="s">
        <v>105</v>
      </c>
      <c r="M34" s="68" t="s">
        <v>105</v>
      </c>
      <c r="N34" s="223" t="s">
        <v>105</v>
      </c>
      <c r="O34" s="224"/>
      <c r="P34" s="69" t="s">
        <v>105</v>
      </c>
      <c r="Q34" s="69" t="s">
        <v>105</v>
      </c>
      <c r="R34" s="67" t="s">
        <v>105</v>
      </c>
      <c r="S34" s="68" t="s">
        <v>105</v>
      </c>
      <c r="T34" s="223" t="s">
        <v>105</v>
      </c>
      <c r="U34" s="224"/>
      <c r="V34" s="69" t="s">
        <v>105</v>
      </c>
      <c r="W34" s="69" t="s">
        <v>105</v>
      </c>
    </row>
    <row r="35" spans="1:23" s="33" customFormat="1" ht="15.75" thickBot="1" x14ac:dyDescent="0.3">
      <c r="A35" s="151"/>
      <c r="B35" s="217"/>
      <c r="C35" s="43" t="s">
        <v>67</v>
      </c>
      <c r="D35" s="34"/>
      <c r="E35" s="210" t="s">
        <v>114</v>
      </c>
      <c r="F35" s="211"/>
      <c r="G35" s="211"/>
      <c r="H35" s="212"/>
      <c r="I35" s="213" t="s">
        <v>238</v>
      </c>
      <c r="J35" s="213"/>
      <c r="K35" s="84"/>
      <c r="L35" s="211" t="s">
        <v>105</v>
      </c>
      <c r="M35" s="211"/>
      <c r="N35" s="211"/>
      <c r="O35" s="212"/>
      <c r="P35" s="213" t="s">
        <v>105</v>
      </c>
      <c r="Q35" s="213"/>
      <c r="R35" s="210" t="s">
        <v>114</v>
      </c>
      <c r="S35" s="211"/>
      <c r="T35" s="211"/>
      <c r="U35" s="212"/>
      <c r="V35" s="213" t="s">
        <v>115</v>
      </c>
      <c r="W35" s="213"/>
    </row>
    <row r="36" spans="1:23" ht="15.75" thickBot="1" x14ac:dyDescent="0.3">
      <c r="A36" s="10"/>
      <c r="B36" s="13"/>
      <c r="C36" s="13"/>
      <c r="E36" s="145"/>
      <c r="F36" s="146"/>
      <c r="G36" s="146"/>
      <c r="H36" s="146"/>
      <c r="I36" s="146"/>
      <c r="J36" s="146"/>
      <c r="K36" s="82"/>
      <c r="L36" s="145"/>
      <c r="M36" s="146"/>
      <c r="N36" s="146"/>
      <c r="O36" s="146"/>
      <c r="P36" s="146"/>
      <c r="Q36" s="146"/>
      <c r="R36" s="145"/>
      <c r="S36" s="146"/>
      <c r="T36" s="146"/>
      <c r="U36" s="146"/>
      <c r="V36" s="146"/>
      <c r="W36" s="146"/>
    </row>
    <row r="37" spans="1:23" ht="15.75" customHeight="1" thickBot="1" x14ac:dyDescent="0.3">
      <c r="A37" s="202" t="s">
        <v>26</v>
      </c>
      <c r="B37" s="203" t="s">
        <v>96</v>
      </c>
      <c r="C37" s="44"/>
      <c r="D37" s="54" t="s">
        <v>9</v>
      </c>
      <c r="E37" s="206" t="s">
        <v>9</v>
      </c>
      <c r="F37" s="207"/>
      <c r="G37" s="208" t="s">
        <v>10</v>
      </c>
      <c r="H37" s="208"/>
      <c r="I37" s="208"/>
      <c r="J37" s="208"/>
      <c r="K37" s="85"/>
      <c r="L37" s="206" t="s">
        <v>9</v>
      </c>
      <c r="M37" s="207"/>
      <c r="N37" s="208" t="s">
        <v>10</v>
      </c>
      <c r="O37" s="208"/>
      <c r="P37" s="208"/>
      <c r="Q37" s="208"/>
      <c r="R37" s="206" t="s">
        <v>9</v>
      </c>
      <c r="S37" s="207"/>
      <c r="T37" s="208" t="s">
        <v>10</v>
      </c>
      <c r="U37" s="208"/>
      <c r="V37" s="208"/>
      <c r="W37" s="208"/>
    </row>
    <row r="38" spans="1:23" ht="15" customHeight="1" x14ac:dyDescent="0.25">
      <c r="A38" s="202"/>
      <c r="B38" s="204"/>
      <c r="C38" s="14" t="s">
        <v>27</v>
      </c>
      <c r="E38" s="218" t="s">
        <v>106</v>
      </c>
      <c r="F38" s="219"/>
      <c r="G38" s="287" t="s">
        <v>239</v>
      </c>
      <c r="H38" s="287"/>
      <c r="I38" s="287"/>
      <c r="J38" s="287"/>
      <c r="K38" s="82"/>
      <c r="L38" s="218" t="s">
        <v>106</v>
      </c>
      <c r="M38" s="219"/>
      <c r="N38" s="287" t="s">
        <v>240</v>
      </c>
      <c r="O38" s="287"/>
      <c r="P38" s="287"/>
      <c r="Q38" s="287"/>
      <c r="R38" s="218" t="s">
        <v>108</v>
      </c>
      <c r="S38" s="219"/>
      <c r="T38" s="287" t="s">
        <v>241</v>
      </c>
      <c r="U38" s="287"/>
      <c r="V38" s="287"/>
      <c r="W38" s="287"/>
    </row>
    <row r="39" spans="1:23" x14ac:dyDescent="0.25">
      <c r="A39" s="202"/>
      <c r="B39" s="204"/>
      <c r="C39" s="14" t="s">
        <v>28</v>
      </c>
      <c r="E39" s="198" t="s">
        <v>105</v>
      </c>
      <c r="F39" s="199"/>
      <c r="G39" s="200" t="s">
        <v>105</v>
      </c>
      <c r="H39" s="200"/>
      <c r="I39" s="200"/>
      <c r="J39" s="200"/>
      <c r="K39" s="82"/>
      <c r="L39" s="198" t="s">
        <v>105</v>
      </c>
      <c r="M39" s="199"/>
      <c r="N39" s="200" t="s">
        <v>105</v>
      </c>
      <c r="O39" s="200"/>
      <c r="P39" s="200"/>
      <c r="Q39" s="200"/>
      <c r="R39" s="198" t="s">
        <v>105</v>
      </c>
      <c r="S39" s="199"/>
      <c r="T39" s="200" t="s">
        <v>105</v>
      </c>
      <c r="U39" s="200"/>
      <c r="V39" s="200"/>
      <c r="W39" s="200"/>
    </row>
    <row r="40" spans="1:23" ht="15.75" thickBot="1" x14ac:dyDescent="0.3">
      <c r="A40" s="202"/>
      <c r="B40" s="205"/>
      <c r="C40" s="45" t="s">
        <v>29</v>
      </c>
      <c r="E40" s="194" t="s">
        <v>105</v>
      </c>
      <c r="F40" s="195"/>
      <c r="G40" s="196" t="s">
        <v>105</v>
      </c>
      <c r="H40" s="196"/>
      <c r="I40" s="196"/>
      <c r="J40" s="196"/>
      <c r="K40" s="82"/>
      <c r="L40" s="194" t="s">
        <v>105</v>
      </c>
      <c r="M40" s="195"/>
      <c r="N40" s="196" t="s">
        <v>105</v>
      </c>
      <c r="O40" s="196"/>
      <c r="P40" s="196"/>
      <c r="Q40" s="196"/>
      <c r="R40" s="194" t="s">
        <v>105</v>
      </c>
      <c r="S40" s="195"/>
      <c r="T40" s="196" t="s">
        <v>105</v>
      </c>
      <c r="U40" s="196"/>
      <c r="V40" s="196"/>
      <c r="W40" s="196"/>
    </row>
    <row r="41" spans="1:23" ht="15.75" thickBot="1" x14ac:dyDescent="0.3">
      <c r="A41" s="10"/>
      <c r="B41" s="13"/>
      <c r="C41" s="13"/>
      <c r="E41" s="145"/>
      <c r="F41" s="146"/>
      <c r="G41" s="146"/>
      <c r="H41" s="146"/>
      <c r="I41" s="146"/>
      <c r="J41" s="146"/>
      <c r="K41" s="82"/>
      <c r="L41" s="145"/>
      <c r="M41" s="146"/>
      <c r="N41" s="146"/>
      <c r="O41" s="146"/>
      <c r="P41" s="146"/>
      <c r="Q41" s="146"/>
      <c r="R41" s="145"/>
      <c r="S41" s="146"/>
      <c r="T41" s="146"/>
      <c r="U41" s="146"/>
      <c r="V41" s="146"/>
      <c r="W41" s="146"/>
    </row>
    <row r="42" spans="1:23" ht="15" customHeight="1" thickBot="1" x14ac:dyDescent="0.3">
      <c r="A42" s="169" t="s">
        <v>30</v>
      </c>
      <c r="B42" s="171" t="s">
        <v>97</v>
      </c>
      <c r="C42" s="53"/>
      <c r="E42" s="77" t="s">
        <v>9</v>
      </c>
      <c r="F42" s="174" t="s">
        <v>83</v>
      </c>
      <c r="G42" s="175"/>
      <c r="H42" s="176" t="s">
        <v>82</v>
      </c>
      <c r="I42" s="176"/>
      <c r="J42" s="176"/>
      <c r="K42" s="82"/>
      <c r="L42" s="77" t="s">
        <v>9</v>
      </c>
      <c r="M42" s="174" t="s">
        <v>83</v>
      </c>
      <c r="N42" s="175"/>
      <c r="O42" s="176" t="s">
        <v>82</v>
      </c>
      <c r="P42" s="176"/>
      <c r="Q42" s="176"/>
      <c r="R42" s="77" t="s">
        <v>9</v>
      </c>
      <c r="S42" s="174" t="s">
        <v>83</v>
      </c>
      <c r="T42" s="175"/>
      <c r="U42" s="176" t="s">
        <v>82</v>
      </c>
      <c r="V42" s="176"/>
      <c r="W42" s="176"/>
    </row>
    <row r="43" spans="1:23" ht="15" customHeight="1" x14ac:dyDescent="0.25">
      <c r="A43" s="170"/>
      <c r="B43" s="172"/>
      <c r="C43" s="52" t="s">
        <v>34</v>
      </c>
      <c r="E43" s="78" t="s">
        <v>106</v>
      </c>
      <c r="F43" s="187" t="s">
        <v>157</v>
      </c>
      <c r="G43" s="185"/>
      <c r="H43" s="186" t="s">
        <v>189</v>
      </c>
      <c r="I43" s="186"/>
      <c r="J43" s="186"/>
      <c r="K43" s="82"/>
      <c r="L43" s="78"/>
      <c r="M43" s="187" t="s">
        <v>140</v>
      </c>
      <c r="N43" s="185"/>
      <c r="O43" s="188" t="s">
        <v>149</v>
      </c>
      <c r="P43" s="186"/>
      <c r="Q43" s="186"/>
      <c r="R43" s="78" t="s">
        <v>106</v>
      </c>
      <c r="S43" s="187" t="s">
        <v>141</v>
      </c>
      <c r="T43" s="185"/>
      <c r="U43" s="186" t="s">
        <v>150</v>
      </c>
      <c r="V43" s="186"/>
      <c r="W43" s="186"/>
    </row>
    <row r="44" spans="1:23" ht="15.75" thickBot="1" x14ac:dyDescent="0.3">
      <c r="A44" s="170"/>
      <c r="B44" s="173"/>
      <c r="C44" s="51" t="s">
        <v>33</v>
      </c>
      <c r="E44" s="79" t="s">
        <v>106</v>
      </c>
      <c r="F44" s="177" t="s">
        <v>121</v>
      </c>
      <c r="G44" s="178"/>
      <c r="H44" s="179" t="s">
        <v>105</v>
      </c>
      <c r="I44" s="179"/>
      <c r="J44" s="179"/>
      <c r="K44" s="82"/>
      <c r="L44" s="79"/>
      <c r="M44" s="177" t="s">
        <v>122</v>
      </c>
      <c r="N44" s="178"/>
      <c r="O44" s="179" t="s">
        <v>105</v>
      </c>
      <c r="P44" s="179"/>
      <c r="Q44" s="179"/>
      <c r="R44" s="79" t="s">
        <v>106</v>
      </c>
      <c r="S44" s="177" t="s">
        <v>121</v>
      </c>
      <c r="T44" s="178"/>
      <c r="U44" s="179" t="s">
        <v>105</v>
      </c>
      <c r="V44" s="179"/>
      <c r="W44" s="179"/>
    </row>
    <row r="45" spans="1:23" ht="15.75" thickBot="1" x14ac:dyDescent="0.3">
      <c r="A45" s="10"/>
      <c r="B45" s="13"/>
      <c r="C45" s="13"/>
      <c r="E45" s="145"/>
      <c r="F45" s="146"/>
      <c r="G45" s="146"/>
      <c r="H45" s="146"/>
      <c r="I45" s="146"/>
      <c r="J45" s="146"/>
      <c r="K45" s="82"/>
      <c r="L45" s="145"/>
      <c r="M45" s="146"/>
      <c r="N45" s="146"/>
      <c r="O45" s="146"/>
      <c r="P45" s="146"/>
      <c r="Q45" s="146"/>
      <c r="R45" s="145"/>
      <c r="S45" s="146"/>
      <c r="T45" s="146"/>
      <c r="U45" s="146"/>
      <c r="V45" s="146"/>
      <c r="W45" s="146"/>
    </row>
    <row r="46" spans="1:23" ht="15" customHeight="1" x14ac:dyDescent="0.25">
      <c r="A46" s="149" t="s">
        <v>31</v>
      </c>
      <c r="B46" s="152" t="s">
        <v>99</v>
      </c>
      <c r="C46" s="50" t="s">
        <v>35</v>
      </c>
      <c r="E46" s="155">
        <v>82.05</v>
      </c>
      <c r="F46" s="156"/>
      <c r="G46" s="156"/>
      <c r="H46" s="156"/>
      <c r="I46" s="156"/>
      <c r="J46" s="156"/>
      <c r="K46" s="82"/>
      <c r="L46" s="155">
        <v>67.84</v>
      </c>
      <c r="M46" s="156"/>
      <c r="N46" s="156"/>
      <c r="O46" s="156"/>
      <c r="P46" s="156"/>
      <c r="Q46" s="156"/>
      <c r="R46" s="155">
        <v>76.5</v>
      </c>
      <c r="S46" s="156"/>
      <c r="T46" s="156"/>
      <c r="U46" s="156"/>
      <c r="V46" s="156"/>
      <c r="W46" s="156"/>
    </row>
    <row r="47" spans="1:23" x14ac:dyDescent="0.25">
      <c r="A47" s="150"/>
      <c r="B47" s="153"/>
      <c r="C47" s="17" t="s">
        <v>68</v>
      </c>
      <c r="E47" s="143">
        <v>120.25</v>
      </c>
      <c r="F47" s="144"/>
      <c r="G47" s="144"/>
      <c r="H47" s="144"/>
      <c r="I47" s="144"/>
      <c r="J47" s="144"/>
      <c r="K47" s="82"/>
      <c r="L47" s="143">
        <v>138</v>
      </c>
      <c r="M47" s="144"/>
      <c r="N47" s="144"/>
      <c r="O47" s="144"/>
      <c r="P47" s="144"/>
      <c r="Q47" s="144"/>
      <c r="R47" s="143">
        <v>80.86</v>
      </c>
      <c r="S47" s="144"/>
      <c r="T47" s="144"/>
      <c r="U47" s="144"/>
      <c r="V47" s="144"/>
      <c r="W47" s="144"/>
    </row>
    <row r="48" spans="1:23" x14ac:dyDescent="0.25">
      <c r="A48" s="150"/>
      <c r="B48" s="153"/>
      <c r="C48" s="17" t="s">
        <v>41</v>
      </c>
      <c r="E48" s="143">
        <v>73.25</v>
      </c>
      <c r="F48" s="144"/>
      <c r="G48" s="144"/>
      <c r="H48" s="144"/>
      <c r="I48" s="144"/>
      <c r="J48" s="144"/>
      <c r="K48" s="82"/>
      <c r="L48" s="143">
        <v>32.67</v>
      </c>
      <c r="M48" s="144"/>
      <c r="N48" s="144"/>
      <c r="O48" s="144"/>
      <c r="P48" s="144"/>
      <c r="Q48" s="144"/>
      <c r="R48" s="143">
        <v>89.42</v>
      </c>
      <c r="S48" s="144"/>
      <c r="T48" s="144"/>
      <c r="U48" s="144"/>
      <c r="V48" s="144"/>
      <c r="W48" s="144"/>
    </row>
    <row r="49" spans="1:23" x14ac:dyDescent="0.25">
      <c r="A49" s="150"/>
      <c r="B49" s="153"/>
      <c r="C49" s="17" t="s">
        <v>42</v>
      </c>
      <c r="E49" s="137">
        <v>479.83</v>
      </c>
      <c r="F49" s="138"/>
      <c r="G49" s="138"/>
      <c r="H49" s="138"/>
      <c r="I49" s="138"/>
      <c r="J49" s="138"/>
      <c r="K49" s="82"/>
      <c r="L49" s="137">
        <v>492</v>
      </c>
      <c r="M49" s="138"/>
      <c r="N49" s="138"/>
      <c r="O49" s="138"/>
      <c r="P49" s="138"/>
      <c r="Q49" s="138"/>
      <c r="R49" s="137">
        <v>425</v>
      </c>
      <c r="S49" s="138"/>
      <c r="T49" s="138"/>
      <c r="U49" s="138"/>
      <c r="V49" s="138"/>
      <c r="W49" s="138"/>
    </row>
    <row r="50" spans="1:23" x14ac:dyDescent="0.25">
      <c r="A50" s="150"/>
      <c r="B50" s="153"/>
      <c r="C50" s="15" t="s">
        <v>43</v>
      </c>
      <c r="E50" s="137" t="s">
        <v>105</v>
      </c>
      <c r="F50" s="138"/>
      <c r="G50" s="138"/>
      <c r="H50" s="138"/>
      <c r="I50" s="138"/>
      <c r="J50" s="138"/>
      <c r="K50" s="82"/>
      <c r="L50" s="137" t="s">
        <v>105</v>
      </c>
      <c r="M50" s="138"/>
      <c r="N50" s="138"/>
      <c r="O50" s="138"/>
      <c r="P50" s="138"/>
      <c r="Q50" s="138"/>
      <c r="R50" s="137" t="s">
        <v>105</v>
      </c>
      <c r="S50" s="138"/>
      <c r="T50" s="138"/>
      <c r="U50" s="138"/>
      <c r="V50" s="138"/>
      <c r="W50" s="138"/>
    </row>
    <row r="51" spans="1:23" x14ac:dyDescent="0.25">
      <c r="A51" s="150"/>
      <c r="B51" s="153"/>
      <c r="C51" s="15" t="s">
        <v>44</v>
      </c>
      <c r="E51" s="137" t="s">
        <v>122</v>
      </c>
      <c r="F51" s="138"/>
      <c r="G51" s="138"/>
      <c r="H51" s="138"/>
      <c r="I51" s="138"/>
      <c r="J51" s="138"/>
      <c r="K51" s="82"/>
      <c r="L51" s="137" t="s">
        <v>105</v>
      </c>
      <c r="M51" s="138"/>
      <c r="N51" s="138"/>
      <c r="O51" s="138"/>
      <c r="P51" s="138"/>
      <c r="Q51" s="138"/>
      <c r="R51" s="137" t="s">
        <v>122</v>
      </c>
      <c r="S51" s="138"/>
      <c r="T51" s="138"/>
      <c r="U51" s="138"/>
      <c r="V51" s="138"/>
      <c r="W51" s="138"/>
    </row>
    <row r="52" spans="1:23" x14ac:dyDescent="0.25">
      <c r="A52" s="150"/>
      <c r="B52" s="153"/>
      <c r="C52" s="17" t="s">
        <v>45</v>
      </c>
      <c r="E52" s="137" t="s">
        <v>105</v>
      </c>
      <c r="F52" s="138"/>
      <c r="G52" s="138"/>
      <c r="H52" s="138"/>
      <c r="I52" s="138"/>
      <c r="J52" s="138"/>
      <c r="K52" s="82"/>
      <c r="L52" s="137" t="s">
        <v>105</v>
      </c>
      <c r="M52" s="138"/>
      <c r="N52" s="138"/>
      <c r="O52" s="138"/>
      <c r="P52" s="138"/>
      <c r="Q52" s="138"/>
      <c r="R52" s="137" t="s">
        <v>105</v>
      </c>
      <c r="S52" s="138"/>
      <c r="T52" s="138"/>
      <c r="U52" s="138"/>
      <c r="V52" s="138"/>
      <c r="W52" s="138"/>
    </row>
    <row r="53" spans="1:23" x14ac:dyDescent="0.25">
      <c r="A53" s="150"/>
      <c r="B53" s="153"/>
      <c r="C53" s="15" t="s">
        <v>46</v>
      </c>
      <c r="E53" s="137">
        <f>SUM(E46:J52)</f>
        <v>755.38</v>
      </c>
      <c r="F53" s="138"/>
      <c r="G53" s="138"/>
      <c r="H53" s="138"/>
      <c r="I53" s="138"/>
      <c r="J53" s="138"/>
      <c r="K53" s="82"/>
      <c r="L53" s="137">
        <f>SUM(L46:Q52)</f>
        <v>730.51</v>
      </c>
      <c r="M53" s="138"/>
      <c r="N53" s="138"/>
      <c r="O53" s="138"/>
      <c r="P53" s="138"/>
      <c r="Q53" s="138"/>
      <c r="R53" s="137">
        <f>SUM(R46:R52)</f>
        <v>671.78</v>
      </c>
      <c r="S53" s="138"/>
      <c r="T53" s="138"/>
      <c r="U53" s="138"/>
      <c r="V53" s="138"/>
      <c r="W53" s="138"/>
    </row>
    <row r="54" spans="1:23" ht="15" customHeight="1" x14ac:dyDescent="0.25">
      <c r="A54" s="150"/>
      <c r="B54" s="153"/>
      <c r="C54" s="159" t="s">
        <v>69</v>
      </c>
      <c r="D54" s="35"/>
      <c r="E54" s="137" t="s">
        <v>105</v>
      </c>
      <c r="F54" s="138"/>
      <c r="G54" s="138"/>
      <c r="H54" s="138"/>
      <c r="I54" s="138"/>
      <c r="J54" s="138"/>
      <c r="K54" s="86"/>
      <c r="L54" s="137" t="s">
        <v>105</v>
      </c>
      <c r="M54" s="138"/>
      <c r="N54" s="138"/>
      <c r="O54" s="138"/>
      <c r="P54" s="138"/>
      <c r="Q54" s="138"/>
      <c r="R54" s="137" t="s">
        <v>105</v>
      </c>
      <c r="S54" s="138"/>
      <c r="T54" s="138"/>
      <c r="U54" s="138"/>
      <c r="V54" s="138"/>
      <c r="W54" s="138"/>
    </row>
    <row r="55" spans="1:23" ht="15.75" thickBot="1" x14ac:dyDescent="0.3">
      <c r="A55" s="151"/>
      <c r="B55" s="154"/>
      <c r="C55" s="160"/>
      <c r="D55" s="35"/>
      <c r="E55" s="161"/>
      <c r="F55" s="162"/>
      <c r="G55" s="162"/>
      <c r="H55" s="162"/>
      <c r="I55" s="162"/>
      <c r="J55" s="162"/>
      <c r="K55" s="86"/>
      <c r="L55" s="161"/>
      <c r="M55" s="162"/>
      <c r="N55" s="162"/>
      <c r="O55" s="162"/>
      <c r="P55" s="162"/>
      <c r="Q55" s="162"/>
      <c r="R55" s="161"/>
      <c r="S55" s="162"/>
      <c r="T55" s="162"/>
      <c r="U55" s="162"/>
      <c r="V55" s="162"/>
      <c r="W55" s="162"/>
    </row>
    <row r="57" spans="1:23" x14ac:dyDescent="0.25">
      <c r="E57" s="5">
        <v>2017</v>
      </c>
      <c r="O57" s="5">
        <v>2018</v>
      </c>
      <c r="V57" s="5">
        <v>2019</v>
      </c>
    </row>
  </sheetData>
  <mergeCells count="209">
    <mergeCell ref="E45:J45"/>
    <mergeCell ref="E47:J47"/>
    <mergeCell ref="A46:A55"/>
    <mergeCell ref="B46:B55"/>
    <mergeCell ref="E46:J46"/>
    <mergeCell ref="E48:J48"/>
    <mergeCell ref="E50:J50"/>
    <mergeCell ref="E49:J49"/>
    <mergeCell ref="E52:J52"/>
    <mergeCell ref="E51:J51"/>
    <mergeCell ref="C54:C55"/>
    <mergeCell ref="E54:J55"/>
    <mergeCell ref="E53:J53"/>
    <mergeCell ref="E36:J36"/>
    <mergeCell ref="E39:F39"/>
    <mergeCell ref="G39:J39"/>
    <mergeCell ref="E38:F38"/>
    <mergeCell ref="G38:J38"/>
    <mergeCell ref="A42:A44"/>
    <mergeCell ref="B42:B44"/>
    <mergeCell ref="F42:G42"/>
    <mergeCell ref="H42:J42"/>
    <mergeCell ref="E41:J41"/>
    <mergeCell ref="A37:A40"/>
    <mergeCell ref="B37:B40"/>
    <mergeCell ref="E37:F37"/>
    <mergeCell ref="G37:J37"/>
    <mergeCell ref="F43:G43"/>
    <mergeCell ref="H43:J43"/>
    <mergeCell ref="F44:G44"/>
    <mergeCell ref="H44:J44"/>
    <mergeCell ref="E40:F40"/>
    <mergeCell ref="G40:J40"/>
    <mergeCell ref="E27:J27"/>
    <mergeCell ref="G26:H26"/>
    <mergeCell ref="A28:A35"/>
    <mergeCell ref="B28:B35"/>
    <mergeCell ref="G28:H28"/>
    <mergeCell ref="I28:J28"/>
    <mergeCell ref="G31:H31"/>
    <mergeCell ref="G30:H30"/>
    <mergeCell ref="G29:H29"/>
    <mergeCell ref="I29:J29"/>
    <mergeCell ref="G33:H33"/>
    <mergeCell ref="G32:H32"/>
    <mergeCell ref="G34:H34"/>
    <mergeCell ref="E35:H35"/>
    <mergeCell ref="I35:J35"/>
    <mergeCell ref="A12:A14"/>
    <mergeCell ref="B12:B14"/>
    <mergeCell ref="E12:J12"/>
    <mergeCell ref="E14:J14"/>
    <mergeCell ref="E15:J15"/>
    <mergeCell ref="E13:J13"/>
    <mergeCell ref="A16:A26"/>
    <mergeCell ref="B16:B26"/>
    <mergeCell ref="G16:H16"/>
    <mergeCell ref="G18:H18"/>
    <mergeCell ref="G19:H19"/>
    <mergeCell ref="G17:H17"/>
    <mergeCell ref="G21:H21"/>
    <mergeCell ref="G20:H20"/>
    <mergeCell ref="G23:H23"/>
    <mergeCell ref="G22:H22"/>
    <mergeCell ref="G25:H25"/>
    <mergeCell ref="G24:H24"/>
    <mergeCell ref="A3:A6"/>
    <mergeCell ref="B3:B6"/>
    <mergeCell ref="E3:J3"/>
    <mergeCell ref="E5:J5"/>
    <mergeCell ref="E7:J7"/>
    <mergeCell ref="E6:J6"/>
    <mergeCell ref="A8:A10"/>
    <mergeCell ref="B8:B10"/>
    <mergeCell ref="E8:J8"/>
    <mergeCell ref="E10:J10"/>
    <mergeCell ref="E9:J9"/>
    <mergeCell ref="L11:Q11"/>
    <mergeCell ref="L12:Q12"/>
    <mergeCell ref="L13:Q13"/>
    <mergeCell ref="L14:Q14"/>
    <mergeCell ref="L15:Q15"/>
    <mergeCell ref="N16:O16"/>
    <mergeCell ref="N17:O17"/>
    <mergeCell ref="E2:J2"/>
    <mergeCell ref="E4:J4"/>
    <mergeCell ref="E11:J11"/>
    <mergeCell ref="L2:Q2"/>
    <mergeCell ref="L3:Q3"/>
    <mergeCell ref="L4:Q4"/>
    <mergeCell ref="L5:Q5"/>
    <mergeCell ref="L6:Q6"/>
    <mergeCell ref="L7:Q7"/>
    <mergeCell ref="L8:Q8"/>
    <mergeCell ref="L9:Q9"/>
    <mergeCell ref="L10:Q10"/>
    <mergeCell ref="N18:O18"/>
    <mergeCell ref="N19:O19"/>
    <mergeCell ref="N20:O20"/>
    <mergeCell ref="N21:O21"/>
    <mergeCell ref="N22:O22"/>
    <mergeCell ref="N23:O23"/>
    <mergeCell ref="N24:O24"/>
    <mergeCell ref="N25:O25"/>
    <mergeCell ref="N26:O26"/>
    <mergeCell ref="L27:Q27"/>
    <mergeCell ref="N28:O28"/>
    <mergeCell ref="P28:Q28"/>
    <mergeCell ref="N29:O29"/>
    <mergeCell ref="P29:Q29"/>
    <mergeCell ref="N30:O30"/>
    <mergeCell ref="N31:O31"/>
    <mergeCell ref="P31:Q31"/>
    <mergeCell ref="N32:O32"/>
    <mergeCell ref="N33:O33"/>
    <mergeCell ref="N34:O34"/>
    <mergeCell ref="L35:O35"/>
    <mergeCell ref="P35:Q35"/>
    <mergeCell ref="L36:Q36"/>
    <mergeCell ref="L37:M37"/>
    <mergeCell ref="N37:Q37"/>
    <mergeCell ref="L38:M38"/>
    <mergeCell ref="N38:Q38"/>
    <mergeCell ref="L39:M39"/>
    <mergeCell ref="N39:Q39"/>
    <mergeCell ref="L40:M40"/>
    <mergeCell ref="N40:Q40"/>
    <mergeCell ref="L41:Q41"/>
    <mergeCell ref="M42:N42"/>
    <mergeCell ref="O42:Q42"/>
    <mergeCell ref="M43:N43"/>
    <mergeCell ref="O43:Q43"/>
    <mergeCell ref="M44:N44"/>
    <mergeCell ref="O44:Q44"/>
    <mergeCell ref="L45:Q45"/>
    <mergeCell ref="L46:Q46"/>
    <mergeCell ref="L47:Q47"/>
    <mergeCell ref="L48:Q48"/>
    <mergeCell ref="L49:Q49"/>
    <mergeCell ref="L50:Q50"/>
    <mergeCell ref="L51:Q51"/>
    <mergeCell ref="L52:Q52"/>
    <mergeCell ref="L53:Q53"/>
    <mergeCell ref="L54:Q55"/>
    <mergeCell ref="I30:J30"/>
    <mergeCell ref="R2:W2"/>
    <mergeCell ref="R3:W3"/>
    <mergeCell ref="R4:W4"/>
    <mergeCell ref="R5:W5"/>
    <mergeCell ref="R6:W6"/>
    <mergeCell ref="R7:W7"/>
    <mergeCell ref="R8:W8"/>
    <mergeCell ref="R9:W9"/>
    <mergeCell ref="R10:W10"/>
    <mergeCell ref="R11:W11"/>
    <mergeCell ref="R12:W12"/>
    <mergeCell ref="R13:W13"/>
    <mergeCell ref="R14:W14"/>
    <mergeCell ref="R15:W15"/>
    <mergeCell ref="T16:U16"/>
    <mergeCell ref="T17:U17"/>
    <mergeCell ref="T18:U18"/>
    <mergeCell ref="T19:U19"/>
    <mergeCell ref="T20:U20"/>
    <mergeCell ref="T21:U21"/>
    <mergeCell ref="T22:U22"/>
    <mergeCell ref="T23:U23"/>
    <mergeCell ref="T24:U24"/>
    <mergeCell ref="T25:U25"/>
    <mergeCell ref="T26:U26"/>
    <mergeCell ref="R27:W27"/>
    <mergeCell ref="T28:U28"/>
    <mergeCell ref="V28:W28"/>
    <mergeCell ref="T29:U29"/>
    <mergeCell ref="V29:W29"/>
    <mergeCell ref="T30:U30"/>
    <mergeCell ref="V30:W30"/>
    <mergeCell ref="T31:U31"/>
    <mergeCell ref="T32:U32"/>
    <mergeCell ref="T33:U33"/>
    <mergeCell ref="T34:U34"/>
    <mergeCell ref="R35:U35"/>
    <mergeCell ref="V35:W35"/>
    <mergeCell ref="R36:W36"/>
    <mergeCell ref="R37:S37"/>
    <mergeCell ref="T37:W37"/>
    <mergeCell ref="R38:S38"/>
    <mergeCell ref="T38:W38"/>
    <mergeCell ref="R39:S39"/>
    <mergeCell ref="T39:W39"/>
    <mergeCell ref="R40:S40"/>
    <mergeCell ref="T40:W40"/>
    <mergeCell ref="R41:W41"/>
    <mergeCell ref="R48:W48"/>
    <mergeCell ref="R49:W49"/>
    <mergeCell ref="R50:W50"/>
    <mergeCell ref="R51:W51"/>
    <mergeCell ref="R52:W52"/>
    <mergeCell ref="R53:W53"/>
    <mergeCell ref="R54:W55"/>
    <mergeCell ref="S42:T42"/>
    <mergeCell ref="U42:W42"/>
    <mergeCell ref="S43:T43"/>
    <mergeCell ref="U43:W43"/>
    <mergeCell ref="S44:T44"/>
    <mergeCell ref="U44:W44"/>
    <mergeCell ref="R45:W45"/>
    <mergeCell ref="R46:W46"/>
    <mergeCell ref="R47:W47"/>
  </mergeCells>
  <pageMargins left="0.7" right="0.7" top="0.78740157499999996" bottom="0.78740157499999996" header="0.3" footer="0.3"/>
  <pageSetup paperSize="9" orientation="portrait" horizontalDpi="4294967294" vertic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W61"/>
  <sheetViews>
    <sheetView workbookViewId="0">
      <selection activeCell="K23" sqref="K23"/>
    </sheetView>
  </sheetViews>
  <sheetFormatPr baseColWidth="10" defaultColWidth="11.42578125" defaultRowHeight="15" x14ac:dyDescent="0.25"/>
  <cols>
    <col min="1" max="1" width="16.42578125" bestFit="1" customWidth="1"/>
    <col min="5" max="5" width="14.85546875" bestFit="1" customWidth="1"/>
    <col min="9" max="9" width="14.85546875" bestFit="1" customWidth="1"/>
    <col min="13" max="13" width="14.85546875" bestFit="1" customWidth="1"/>
    <col min="17" max="17" width="14.85546875" bestFit="1" customWidth="1"/>
    <col min="21" max="21" width="14.85546875" bestFit="1" customWidth="1"/>
  </cols>
  <sheetData>
    <row r="5" spans="1:23" x14ac:dyDescent="0.25">
      <c r="A5" s="129" t="s">
        <v>110</v>
      </c>
      <c r="B5" s="129"/>
      <c r="C5" s="129"/>
      <c r="E5" s="129" t="s">
        <v>111</v>
      </c>
      <c r="F5" s="129"/>
      <c r="G5" s="129"/>
      <c r="I5" s="129" t="s">
        <v>166</v>
      </c>
      <c r="J5" s="129"/>
      <c r="K5" s="129"/>
      <c r="L5" s="5"/>
      <c r="M5" s="129" t="s">
        <v>167</v>
      </c>
      <c r="N5" s="129"/>
      <c r="O5" s="129"/>
      <c r="Q5" s="129"/>
      <c r="R5" s="129"/>
      <c r="S5" s="129"/>
      <c r="U5" s="129"/>
      <c r="V5" s="129"/>
      <c r="W5" s="129"/>
    </row>
    <row r="6" spans="1:23" x14ac:dyDescent="0.25">
      <c r="A6" s="5" t="s">
        <v>85</v>
      </c>
      <c r="B6" s="5" t="s">
        <v>71</v>
      </c>
      <c r="C6" s="5" t="s">
        <v>84</v>
      </c>
      <c r="E6" s="5" t="s">
        <v>85</v>
      </c>
      <c r="F6" s="5" t="s">
        <v>71</v>
      </c>
      <c r="G6" s="5" t="s">
        <v>84</v>
      </c>
      <c r="I6" s="5" t="s">
        <v>85</v>
      </c>
      <c r="J6" s="5" t="s">
        <v>71</v>
      </c>
      <c r="K6" s="5" t="s">
        <v>84</v>
      </c>
      <c r="L6" s="5"/>
      <c r="M6" s="5" t="s">
        <v>85</v>
      </c>
      <c r="N6" s="5" t="s">
        <v>71</v>
      </c>
      <c r="O6" s="5" t="s">
        <v>84</v>
      </c>
      <c r="Q6" s="5"/>
      <c r="R6" s="5"/>
      <c r="S6" s="5"/>
      <c r="U6" s="5"/>
      <c r="V6" s="5"/>
      <c r="W6" s="5"/>
    </row>
    <row r="7" spans="1:23" x14ac:dyDescent="0.25">
      <c r="A7" s="5">
        <v>1</v>
      </c>
      <c r="B7">
        <v>2009</v>
      </c>
      <c r="C7" s="57">
        <v>2.4</v>
      </c>
      <c r="E7" s="5">
        <v>1</v>
      </c>
      <c r="F7" s="5">
        <v>2009</v>
      </c>
      <c r="G7" s="57">
        <v>4.0999999999999996</v>
      </c>
      <c r="I7" s="5">
        <v>1</v>
      </c>
      <c r="J7" s="5">
        <v>2009</v>
      </c>
      <c r="K7" s="37">
        <v>6.4</v>
      </c>
      <c r="L7" s="5"/>
      <c r="M7" s="5">
        <v>1</v>
      </c>
      <c r="N7" s="5">
        <v>2009</v>
      </c>
      <c r="O7" s="37">
        <v>2.4</v>
      </c>
      <c r="Q7" s="5"/>
      <c r="R7" s="5"/>
      <c r="S7" s="5"/>
      <c r="U7" s="5"/>
      <c r="V7" s="5"/>
      <c r="W7" s="5"/>
    </row>
    <row r="8" spans="1:23" x14ac:dyDescent="0.25">
      <c r="A8" s="5">
        <v>2</v>
      </c>
      <c r="B8">
        <v>2010</v>
      </c>
      <c r="C8" s="57">
        <v>3.2</v>
      </c>
      <c r="E8" s="5">
        <v>2</v>
      </c>
      <c r="F8" s="5">
        <v>2010</v>
      </c>
      <c r="G8" s="57">
        <v>3.4</v>
      </c>
      <c r="I8" s="5">
        <v>2</v>
      </c>
      <c r="J8" s="5">
        <v>2010</v>
      </c>
      <c r="K8" s="37">
        <v>7.1</v>
      </c>
      <c r="L8" s="5"/>
      <c r="M8" s="5">
        <v>2</v>
      </c>
      <c r="N8" s="5">
        <v>2010</v>
      </c>
      <c r="O8" s="37">
        <v>2.2000000000000002</v>
      </c>
      <c r="Q8" s="5"/>
      <c r="R8" s="5"/>
      <c r="S8" s="5"/>
      <c r="U8" s="5"/>
      <c r="V8" s="5"/>
      <c r="W8" s="5"/>
    </row>
    <row r="9" spans="1:23" x14ac:dyDescent="0.25">
      <c r="A9" s="5">
        <v>3</v>
      </c>
      <c r="B9">
        <v>2011</v>
      </c>
      <c r="C9" s="57">
        <v>2.7</v>
      </c>
      <c r="E9" s="5">
        <v>3</v>
      </c>
      <c r="F9" s="5">
        <v>2011</v>
      </c>
      <c r="G9" s="57">
        <v>4.2</v>
      </c>
      <c r="I9" s="5">
        <v>3</v>
      </c>
      <c r="J9" s="5">
        <v>2011</v>
      </c>
      <c r="K9" s="37">
        <v>6.2</v>
      </c>
      <c r="L9" s="5"/>
      <c r="M9" s="5">
        <v>3</v>
      </c>
      <c r="N9" s="5">
        <v>2011</v>
      </c>
      <c r="O9" s="37">
        <v>2.5</v>
      </c>
      <c r="Q9" s="5"/>
      <c r="R9" s="5"/>
      <c r="S9" s="5"/>
      <c r="U9" s="5"/>
      <c r="V9" s="5"/>
      <c r="W9" s="5"/>
    </row>
    <row r="10" spans="1:23" x14ac:dyDescent="0.25">
      <c r="A10" s="5">
        <v>4</v>
      </c>
      <c r="B10">
        <v>2012</v>
      </c>
      <c r="C10" s="57">
        <v>1.7</v>
      </c>
      <c r="E10" s="5">
        <v>4</v>
      </c>
      <c r="F10" s="5">
        <v>2012</v>
      </c>
      <c r="G10" s="57">
        <v>4</v>
      </c>
      <c r="I10" s="5">
        <v>4</v>
      </c>
      <c r="J10" s="5">
        <v>2012</v>
      </c>
      <c r="K10" s="37">
        <v>3.6</v>
      </c>
      <c r="L10" s="5"/>
      <c r="M10" s="5">
        <v>4</v>
      </c>
      <c r="N10" s="5">
        <v>2012</v>
      </c>
      <c r="O10" s="37">
        <v>2</v>
      </c>
      <c r="Q10" s="5"/>
      <c r="R10" s="5"/>
      <c r="S10" s="5"/>
      <c r="U10" s="5"/>
      <c r="V10" s="5"/>
      <c r="W10" s="5"/>
    </row>
    <row r="11" spans="1:23" x14ac:dyDescent="0.25">
      <c r="A11" s="5">
        <v>5</v>
      </c>
      <c r="B11" s="5">
        <v>2013</v>
      </c>
      <c r="C11" s="57">
        <v>2.4</v>
      </c>
      <c r="E11" s="5">
        <v>5</v>
      </c>
      <c r="F11" s="5">
        <v>2013</v>
      </c>
      <c r="G11" s="57">
        <v>4.3</v>
      </c>
      <c r="I11" s="5">
        <v>5</v>
      </c>
      <c r="J11" s="5">
        <v>2013</v>
      </c>
      <c r="K11" s="37">
        <v>6</v>
      </c>
      <c r="L11" s="5"/>
      <c r="M11" s="5">
        <v>5</v>
      </c>
      <c r="N11" s="5">
        <v>2013</v>
      </c>
      <c r="O11" s="37">
        <v>2.7</v>
      </c>
      <c r="Q11" s="5"/>
      <c r="R11" s="5"/>
      <c r="S11" s="5"/>
      <c r="U11" s="5"/>
      <c r="V11" s="5"/>
      <c r="W11" s="5"/>
    </row>
    <row r="12" spans="1:23" x14ac:dyDescent="0.25">
      <c r="A12" s="5">
        <v>6</v>
      </c>
      <c r="B12" s="5">
        <v>2014</v>
      </c>
      <c r="C12" s="57">
        <v>3.5</v>
      </c>
      <c r="E12" s="5">
        <v>6</v>
      </c>
      <c r="F12" s="5">
        <v>2014</v>
      </c>
      <c r="G12" s="57">
        <v>3.9</v>
      </c>
      <c r="I12" s="5">
        <v>6</v>
      </c>
      <c r="J12" s="5">
        <v>2014</v>
      </c>
      <c r="K12" s="37">
        <v>7.5</v>
      </c>
      <c r="L12" s="5"/>
      <c r="M12" s="5">
        <v>6</v>
      </c>
      <c r="N12" s="5">
        <v>2014</v>
      </c>
      <c r="O12" s="37">
        <v>2.9</v>
      </c>
      <c r="Q12" s="5"/>
      <c r="R12" s="5"/>
      <c r="S12" s="5"/>
      <c r="U12" s="5"/>
      <c r="V12" s="5"/>
      <c r="W12" s="5"/>
    </row>
    <row r="13" spans="1:23" x14ac:dyDescent="0.25">
      <c r="A13" s="5">
        <v>7</v>
      </c>
      <c r="B13" s="5">
        <v>2015</v>
      </c>
      <c r="C13" s="57">
        <v>2.5</v>
      </c>
      <c r="E13" s="5">
        <v>7</v>
      </c>
      <c r="F13" s="5">
        <v>2015</v>
      </c>
      <c r="G13" s="57">
        <v>4.0999999999999996</v>
      </c>
      <c r="I13" s="5">
        <v>7</v>
      </c>
      <c r="J13" s="5">
        <v>2015</v>
      </c>
      <c r="K13" s="37">
        <v>5.4</v>
      </c>
      <c r="L13" s="5"/>
      <c r="M13" s="5">
        <v>7</v>
      </c>
      <c r="N13" s="5">
        <v>2015</v>
      </c>
      <c r="O13" s="37">
        <v>2.6</v>
      </c>
      <c r="Q13" s="5"/>
      <c r="R13" s="5"/>
      <c r="S13" s="5"/>
      <c r="U13" s="5"/>
      <c r="V13" s="5"/>
      <c r="W13" s="5"/>
    </row>
    <row r="14" spans="1:23" x14ac:dyDescent="0.25">
      <c r="A14" s="5">
        <v>8</v>
      </c>
      <c r="B14" s="5">
        <v>2016</v>
      </c>
      <c r="C14" s="57">
        <v>3.2</v>
      </c>
      <c r="E14" s="5">
        <v>8</v>
      </c>
      <c r="F14" s="5">
        <v>2016</v>
      </c>
      <c r="G14" s="57">
        <v>4.8</v>
      </c>
      <c r="I14" s="5">
        <v>8</v>
      </c>
      <c r="J14" s="5">
        <v>2016</v>
      </c>
      <c r="K14" s="37">
        <v>7.3</v>
      </c>
      <c r="L14" s="5"/>
      <c r="M14" s="5">
        <v>8</v>
      </c>
      <c r="N14" s="5">
        <v>2016</v>
      </c>
      <c r="O14" s="37">
        <v>3.1</v>
      </c>
      <c r="Q14" s="5"/>
      <c r="R14" s="5"/>
      <c r="S14" s="5"/>
      <c r="U14" s="5"/>
      <c r="V14" s="5"/>
      <c r="W14" s="5"/>
    </row>
    <row r="15" spans="1:23" x14ac:dyDescent="0.25">
      <c r="A15" s="5">
        <v>9</v>
      </c>
      <c r="B15" s="5">
        <v>2017</v>
      </c>
      <c r="C15" s="57">
        <v>2.2999999999999998</v>
      </c>
      <c r="E15" s="5">
        <v>9</v>
      </c>
      <c r="F15" s="5">
        <v>2017</v>
      </c>
      <c r="G15" s="57">
        <v>4.0999999999999996</v>
      </c>
      <c r="I15" s="5">
        <v>9</v>
      </c>
      <c r="J15" s="5">
        <v>2017</v>
      </c>
      <c r="K15" s="37">
        <v>4</v>
      </c>
      <c r="L15" s="5"/>
      <c r="M15" s="5">
        <v>9</v>
      </c>
      <c r="N15" s="5">
        <v>2017</v>
      </c>
      <c r="O15" s="37">
        <v>2.5</v>
      </c>
      <c r="Q15" s="5"/>
      <c r="R15" s="5"/>
      <c r="S15" s="5"/>
      <c r="U15" s="5"/>
      <c r="V15" s="5"/>
      <c r="W15" s="5"/>
    </row>
    <row r="16" spans="1:23" x14ac:dyDescent="0.25">
      <c r="A16" s="5">
        <v>10</v>
      </c>
      <c r="B16" s="5">
        <v>2018</v>
      </c>
      <c r="C16" s="57">
        <v>3.3</v>
      </c>
      <c r="E16" s="5">
        <v>10</v>
      </c>
      <c r="F16" s="5">
        <v>2018</v>
      </c>
      <c r="G16" s="57">
        <v>4.5999999999999996</v>
      </c>
      <c r="I16" s="5">
        <v>10</v>
      </c>
      <c r="J16" s="5">
        <v>2018</v>
      </c>
      <c r="K16" s="37">
        <v>7.7</v>
      </c>
      <c r="L16" s="5"/>
      <c r="M16" s="5">
        <v>10</v>
      </c>
      <c r="N16" s="5">
        <v>2018</v>
      </c>
      <c r="O16" s="37">
        <v>3.1</v>
      </c>
      <c r="Q16" s="5"/>
      <c r="R16" s="5"/>
      <c r="S16" s="5"/>
      <c r="U16" s="5"/>
      <c r="V16" s="5"/>
      <c r="W16" s="5"/>
    </row>
    <row r="17" spans="1:23" x14ac:dyDescent="0.25">
      <c r="C17" s="87">
        <f>_xlfn.STDEV.P(C7:C16)/AVERAGE(C7:C16)</f>
        <v>0.19716305408517568</v>
      </c>
      <c r="G17" s="87">
        <f>_xlfn.STDEV.P(G7:G16)/AVERAGE(G7:G16)</f>
        <v>8.7047671653920189E-2</v>
      </c>
      <c r="J17" s="5"/>
      <c r="K17" s="87">
        <f>_xlfn.STDEV.P(K7:K16)/AVERAGE(K7:K16)</f>
        <v>0.22053376233729446</v>
      </c>
      <c r="L17" s="5"/>
      <c r="O17" s="87">
        <f>_xlfn.STDEV.P(O7:O16)/AVERAGE(O7:O16)</f>
        <v>0.13211972336398051</v>
      </c>
    </row>
    <row r="18" spans="1:23" x14ac:dyDescent="0.25">
      <c r="J18" s="5"/>
      <c r="K18" s="5"/>
      <c r="L18" s="5"/>
    </row>
    <row r="19" spans="1:23" x14ac:dyDescent="0.25">
      <c r="J19" s="5"/>
      <c r="K19" s="5"/>
      <c r="L19" s="5"/>
    </row>
    <row r="20" spans="1:23" x14ac:dyDescent="0.25">
      <c r="A20" s="129"/>
      <c r="B20" s="129"/>
      <c r="C20" s="129"/>
      <c r="D20" s="5"/>
      <c r="E20" s="59"/>
      <c r="F20" s="58" t="s">
        <v>277</v>
      </c>
      <c r="G20" s="59"/>
      <c r="H20" s="5"/>
      <c r="I20" s="129"/>
      <c r="J20" s="129"/>
      <c r="K20" s="129"/>
      <c r="L20" s="5"/>
      <c r="M20" s="129"/>
      <c r="N20" s="129"/>
      <c r="O20" s="129"/>
      <c r="P20" s="5"/>
      <c r="Q20" s="129"/>
      <c r="R20" s="129"/>
      <c r="S20" s="129"/>
      <c r="T20" s="5"/>
      <c r="U20" s="129"/>
      <c r="V20" s="129"/>
      <c r="W20" s="129"/>
    </row>
    <row r="21" spans="1:23" x14ac:dyDescent="0.25">
      <c r="A21" s="5"/>
      <c r="B21" s="5"/>
      <c r="C21" s="5"/>
      <c r="D21" s="5"/>
      <c r="E21" s="5"/>
      <c r="F21" s="5"/>
      <c r="G21" s="5"/>
      <c r="H21" s="5" t="s">
        <v>243</v>
      </c>
      <c r="I21" s="5" t="s">
        <v>244</v>
      </c>
      <c r="J21" s="5" t="s">
        <v>245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x14ac:dyDescent="0.25">
      <c r="A22" s="5"/>
      <c r="B22" s="5"/>
      <c r="C22" s="5"/>
      <c r="D22" s="5"/>
      <c r="E22" s="5"/>
      <c r="F22" s="5" t="s">
        <v>246</v>
      </c>
      <c r="G22" s="5"/>
      <c r="H22" s="5" t="s">
        <v>151</v>
      </c>
      <c r="I22" s="5" t="s">
        <v>247</v>
      </c>
      <c r="J22" s="5" t="s">
        <v>248</v>
      </c>
      <c r="K22" s="88">
        <f>AVERAGE(G17,K17,O17)</f>
        <v>0.14656705245173171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x14ac:dyDescent="0.25">
      <c r="A23" s="5"/>
      <c r="B23" s="5"/>
      <c r="C23" s="5"/>
      <c r="D23" s="5"/>
      <c r="E23" s="5"/>
      <c r="F23" s="5" t="s">
        <v>249</v>
      </c>
      <c r="G23" s="5"/>
      <c r="H23" s="5" t="s">
        <v>151</v>
      </c>
      <c r="I23" s="5" t="s">
        <v>248</v>
      </c>
      <c r="J23" s="5" t="s">
        <v>250</v>
      </c>
      <c r="K23" s="88">
        <f>AVERAGE(G17,K17,C17)</f>
        <v>0.16824816269213008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5" spans="1:23" x14ac:dyDescent="0.25">
      <c r="A35" s="129"/>
      <c r="B35" s="129"/>
      <c r="C35" s="129"/>
      <c r="D35" s="5"/>
      <c r="E35" s="129"/>
      <c r="F35" s="129"/>
      <c r="G35" s="129"/>
      <c r="H35" s="5"/>
      <c r="I35" s="129"/>
      <c r="J35" s="129"/>
      <c r="K35" s="129"/>
      <c r="L35" s="5"/>
      <c r="M35" s="129"/>
      <c r="N35" s="129"/>
      <c r="O35" s="129"/>
      <c r="P35" s="5"/>
      <c r="Q35" s="129"/>
      <c r="R35" s="129"/>
      <c r="S35" s="129"/>
      <c r="T35" s="5"/>
      <c r="U35" s="129"/>
      <c r="V35" s="129"/>
      <c r="W35" s="129"/>
    </row>
    <row r="36" spans="1:23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50" spans="1:23" x14ac:dyDescent="0.25">
      <c r="A50" s="129" t="s">
        <v>86</v>
      </c>
      <c r="B50" s="129"/>
      <c r="C50" s="129"/>
      <c r="D50" s="5"/>
      <c r="E50" s="129" t="s">
        <v>86</v>
      </c>
      <c r="F50" s="129"/>
      <c r="G50" s="129"/>
      <c r="H50" s="5"/>
      <c r="I50" s="129" t="s">
        <v>86</v>
      </c>
      <c r="J50" s="129"/>
      <c r="K50" s="129"/>
      <c r="L50" s="5"/>
      <c r="M50" s="129" t="s">
        <v>86</v>
      </c>
      <c r="N50" s="129"/>
      <c r="O50" s="129"/>
      <c r="P50" s="5"/>
      <c r="Q50" s="129" t="s">
        <v>86</v>
      </c>
      <c r="R50" s="129"/>
      <c r="S50" s="129"/>
      <c r="T50" s="5"/>
      <c r="U50" s="129" t="s">
        <v>86</v>
      </c>
      <c r="V50" s="129"/>
      <c r="W50" s="129"/>
    </row>
    <row r="51" spans="1:23" x14ac:dyDescent="0.25">
      <c r="A51" s="5" t="s">
        <v>85</v>
      </c>
      <c r="B51" s="5" t="s">
        <v>71</v>
      </c>
      <c r="C51" s="5" t="s">
        <v>84</v>
      </c>
      <c r="D51" s="5"/>
      <c r="E51" s="5" t="s">
        <v>85</v>
      </c>
      <c r="F51" s="5" t="s">
        <v>71</v>
      </c>
      <c r="G51" s="5" t="s">
        <v>84</v>
      </c>
      <c r="H51" s="5"/>
      <c r="I51" s="5" t="s">
        <v>85</v>
      </c>
      <c r="J51" s="5" t="s">
        <v>71</v>
      </c>
      <c r="K51" s="5" t="s">
        <v>84</v>
      </c>
      <c r="L51" s="5"/>
      <c r="M51" s="5" t="s">
        <v>85</v>
      </c>
      <c r="N51" s="5" t="s">
        <v>71</v>
      </c>
      <c r="O51" s="5" t="s">
        <v>84</v>
      </c>
      <c r="P51" s="5"/>
      <c r="Q51" s="5" t="s">
        <v>85</v>
      </c>
      <c r="R51" s="5" t="s">
        <v>71</v>
      </c>
      <c r="S51" s="5" t="s">
        <v>84</v>
      </c>
      <c r="T51" s="5"/>
      <c r="U51" s="5" t="s">
        <v>85</v>
      </c>
      <c r="V51" s="5" t="s">
        <v>71</v>
      </c>
      <c r="W51" s="5" t="s">
        <v>84</v>
      </c>
    </row>
    <row r="52" spans="1:23" x14ac:dyDescent="0.25">
      <c r="A52" s="5">
        <v>1</v>
      </c>
      <c r="B52" s="5"/>
      <c r="C52" s="5"/>
      <c r="D52" s="5"/>
      <c r="E52" s="5">
        <v>1</v>
      </c>
      <c r="F52" s="5"/>
      <c r="G52" s="5"/>
      <c r="H52" s="5"/>
      <c r="I52" s="5">
        <v>1</v>
      </c>
      <c r="J52" s="5"/>
      <c r="K52" s="5"/>
      <c r="L52" s="5"/>
      <c r="M52" s="5">
        <v>1</v>
      </c>
      <c r="N52" s="5"/>
      <c r="O52" s="5"/>
      <c r="P52" s="5"/>
      <c r="Q52" s="5">
        <v>1</v>
      </c>
      <c r="R52" s="5"/>
      <c r="S52" s="5"/>
      <c r="T52" s="5"/>
      <c r="U52" s="5">
        <v>1</v>
      </c>
      <c r="V52" s="5"/>
      <c r="W52" s="5"/>
    </row>
    <row r="53" spans="1:23" x14ac:dyDescent="0.25">
      <c r="A53" s="5">
        <v>2</v>
      </c>
      <c r="B53" s="5"/>
      <c r="C53" s="5"/>
      <c r="D53" s="5"/>
      <c r="E53" s="5">
        <v>2</v>
      </c>
      <c r="F53" s="5"/>
      <c r="G53" s="5"/>
      <c r="H53" s="5"/>
      <c r="I53" s="5">
        <v>2</v>
      </c>
      <c r="J53" s="5"/>
      <c r="K53" s="5"/>
      <c r="L53" s="5"/>
      <c r="M53" s="5">
        <v>2</v>
      </c>
      <c r="N53" s="5"/>
      <c r="O53" s="5"/>
      <c r="P53" s="5"/>
      <c r="Q53" s="5">
        <v>2</v>
      </c>
      <c r="R53" s="5"/>
      <c r="S53" s="5"/>
      <c r="T53" s="5"/>
      <c r="U53" s="5">
        <v>2</v>
      </c>
      <c r="V53" s="5"/>
      <c r="W53" s="5"/>
    </row>
    <row r="54" spans="1:23" x14ac:dyDescent="0.25">
      <c r="A54" s="5">
        <v>3</v>
      </c>
      <c r="B54" s="5"/>
      <c r="C54" s="5"/>
      <c r="D54" s="5"/>
      <c r="E54" s="5">
        <v>3</v>
      </c>
      <c r="F54" s="5"/>
      <c r="G54" s="5"/>
      <c r="H54" s="5"/>
      <c r="I54" s="5">
        <v>3</v>
      </c>
      <c r="J54" s="5"/>
      <c r="K54" s="5"/>
      <c r="L54" s="5"/>
      <c r="M54" s="5">
        <v>3</v>
      </c>
      <c r="N54" s="5"/>
      <c r="O54" s="5"/>
      <c r="P54" s="5"/>
      <c r="Q54" s="5">
        <v>3</v>
      </c>
      <c r="R54" s="5"/>
      <c r="S54" s="5"/>
      <c r="T54" s="5"/>
      <c r="U54" s="5">
        <v>3</v>
      </c>
      <c r="V54" s="5"/>
      <c r="W54" s="5"/>
    </row>
    <row r="55" spans="1:23" x14ac:dyDescent="0.25">
      <c r="A55" s="5">
        <v>4</v>
      </c>
      <c r="B55" s="5"/>
      <c r="C55" s="5"/>
      <c r="D55" s="5"/>
      <c r="E55" s="5">
        <v>4</v>
      </c>
      <c r="F55" s="5"/>
      <c r="G55" s="5"/>
      <c r="H55" s="5"/>
      <c r="I55" s="5">
        <v>4</v>
      </c>
      <c r="J55" s="5"/>
      <c r="K55" s="5"/>
      <c r="L55" s="5"/>
      <c r="M55" s="5">
        <v>4</v>
      </c>
      <c r="N55" s="5"/>
      <c r="O55" s="5"/>
      <c r="P55" s="5"/>
      <c r="Q55" s="5">
        <v>4</v>
      </c>
      <c r="R55" s="5"/>
      <c r="S55" s="5"/>
      <c r="T55" s="5"/>
      <c r="U55" s="5">
        <v>4</v>
      </c>
      <c r="V55" s="5"/>
      <c r="W55" s="5"/>
    </row>
    <row r="56" spans="1:23" x14ac:dyDescent="0.25">
      <c r="A56" s="5">
        <v>5</v>
      </c>
      <c r="B56" s="5"/>
      <c r="C56" s="5"/>
      <c r="D56" s="5"/>
      <c r="E56" s="5">
        <v>5</v>
      </c>
      <c r="F56" s="5"/>
      <c r="G56" s="5"/>
      <c r="H56" s="5"/>
      <c r="I56" s="5">
        <v>5</v>
      </c>
      <c r="J56" s="5"/>
      <c r="K56" s="5"/>
      <c r="L56" s="5"/>
      <c r="M56" s="5">
        <v>5</v>
      </c>
      <c r="N56" s="5"/>
      <c r="O56" s="5"/>
      <c r="P56" s="5"/>
      <c r="Q56" s="5">
        <v>5</v>
      </c>
      <c r="R56" s="5"/>
      <c r="S56" s="5"/>
      <c r="T56" s="5"/>
      <c r="U56" s="5">
        <v>5</v>
      </c>
      <c r="V56" s="5"/>
      <c r="W56" s="5"/>
    </row>
    <row r="57" spans="1:23" x14ac:dyDescent="0.25">
      <c r="A57" s="5">
        <v>6</v>
      </c>
      <c r="B57" s="5"/>
      <c r="C57" s="5"/>
      <c r="D57" s="5"/>
      <c r="E57" s="5">
        <v>6</v>
      </c>
      <c r="F57" s="5"/>
      <c r="G57" s="5"/>
      <c r="H57" s="5"/>
      <c r="I57" s="5">
        <v>6</v>
      </c>
      <c r="J57" s="5"/>
      <c r="K57" s="5"/>
      <c r="L57" s="5"/>
      <c r="M57" s="5">
        <v>6</v>
      </c>
      <c r="N57" s="5"/>
      <c r="O57" s="5"/>
      <c r="P57" s="5"/>
      <c r="Q57" s="5">
        <v>6</v>
      </c>
      <c r="R57" s="5"/>
      <c r="S57" s="5"/>
      <c r="T57" s="5"/>
      <c r="U57" s="5">
        <v>6</v>
      </c>
      <c r="V57" s="5"/>
      <c r="W57" s="5"/>
    </row>
    <row r="58" spans="1:23" x14ac:dyDescent="0.25">
      <c r="A58" s="5">
        <v>7</v>
      </c>
      <c r="B58" s="5"/>
      <c r="C58" s="5"/>
      <c r="D58" s="5"/>
      <c r="E58" s="5">
        <v>7</v>
      </c>
      <c r="F58" s="5"/>
      <c r="G58" s="5"/>
      <c r="H58" s="5"/>
      <c r="I58" s="5">
        <v>7</v>
      </c>
      <c r="J58" s="5"/>
      <c r="K58" s="5"/>
      <c r="L58" s="5"/>
      <c r="M58" s="5">
        <v>7</v>
      </c>
      <c r="N58" s="5"/>
      <c r="O58" s="5"/>
      <c r="P58" s="5"/>
      <c r="Q58" s="5">
        <v>7</v>
      </c>
      <c r="R58" s="5"/>
      <c r="S58" s="5"/>
      <c r="T58" s="5"/>
      <c r="U58" s="5">
        <v>7</v>
      </c>
      <c r="V58" s="5"/>
      <c r="W58" s="5"/>
    </row>
    <row r="59" spans="1:23" x14ac:dyDescent="0.25">
      <c r="A59" s="5">
        <v>8</v>
      </c>
      <c r="B59" s="5"/>
      <c r="C59" s="5"/>
      <c r="D59" s="5"/>
      <c r="E59" s="5">
        <v>8</v>
      </c>
      <c r="F59" s="5"/>
      <c r="G59" s="5"/>
      <c r="H59" s="5"/>
      <c r="I59" s="5">
        <v>8</v>
      </c>
      <c r="J59" s="5"/>
      <c r="K59" s="5"/>
      <c r="L59" s="5"/>
      <c r="M59" s="5">
        <v>8</v>
      </c>
      <c r="N59" s="5"/>
      <c r="O59" s="5"/>
      <c r="P59" s="5"/>
      <c r="Q59" s="5">
        <v>8</v>
      </c>
      <c r="R59" s="5"/>
      <c r="S59" s="5"/>
      <c r="T59" s="5"/>
      <c r="U59" s="5">
        <v>8</v>
      </c>
      <c r="V59" s="5"/>
      <c r="W59" s="5"/>
    </row>
    <row r="60" spans="1:23" x14ac:dyDescent="0.25">
      <c r="A60" s="5">
        <v>9</v>
      </c>
      <c r="B60" s="5"/>
      <c r="C60" s="5"/>
      <c r="D60" s="5"/>
      <c r="E60" s="5">
        <v>9</v>
      </c>
      <c r="F60" s="5"/>
      <c r="G60" s="5"/>
      <c r="H60" s="5"/>
      <c r="I60" s="5">
        <v>9</v>
      </c>
      <c r="J60" s="5"/>
      <c r="K60" s="5"/>
      <c r="L60" s="5"/>
      <c r="M60" s="5">
        <v>9</v>
      </c>
      <c r="N60" s="5"/>
      <c r="O60" s="5"/>
      <c r="P60" s="5"/>
      <c r="Q60" s="5">
        <v>9</v>
      </c>
      <c r="R60" s="5"/>
      <c r="S60" s="5"/>
      <c r="T60" s="5"/>
      <c r="U60" s="5">
        <v>9</v>
      </c>
      <c r="V60" s="5"/>
      <c r="W60" s="5"/>
    </row>
    <row r="61" spans="1:23" x14ac:dyDescent="0.25">
      <c r="A61" s="5">
        <v>10</v>
      </c>
      <c r="B61" s="5"/>
      <c r="C61" s="5"/>
      <c r="D61" s="5"/>
      <c r="E61" s="5">
        <v>10</v>
      </c>
      <c r="F61" s="5"/>
      <c r="G61" s="5"/>
      <c r="H61" s="5"/>
      <c r="I61" s="5">
        <v>10</v>
      </c>
      <c r="J61" s="5"/>
      <c r="K61" s="5"/>
      <c r="L61" s="5"/>
      <c r="M61" s="5">
        <v>10</v>
      </c>
      <c r="N61" s="5"/>
      <c r="O61" s="5"/>
      <c r="P61" s="5"/>
      <c r="Q61" s="5">
        <v>10</v>
      </c>
      <c r="R61" s="5"/>
      <c r="S61" s="5"/>
      <c r="T61" s="5"/>
      <c r="U61" s="5">
        <v>10</v>
      </c>
      <c r="V61" s="5"/>
      <c r="W61" s="5"/>
    </row>
  </sheetData>
  <mergeCells count="23">
    <mergeCell ref="U35:W35"/>
    <mergeCell ref="A50:C50"/>
    <mergeCell ref="E50:G50"/>
    <mergeCell ref="I50:K50"/>
    <mergeCell ref="M50:O50"/>
    <mergeCell ref="Q50:S50"/>
    <mergeCell ref="U50:W50"/>
    <mergeCell ref="A35:C35"/>
    <mergeCell ref="E35:G35"/>
    <mergeCell ref="I35:K35"/>
    <mergeCell ref="M35:O35"/>
    <mergeCell ref="Q35:S35"/>
    <mergeCell ref="U5:W5"/>
    <mergeCell ref="A20:C20"/>
    <mergeCell ref="I20:K20"/>
    <mergeCell ref="M20:O20"/>
    <mergeCell ref="Q20:S20"/>
    <mergeCell ref="U20:W20"/>
    <mergeCell ref="A5:C5"/>
    <mergeCell ref="E5:G5"/>
    <mergeCell ref="M5:O5"/>
    <mergeCell ref="Q5:S5"/>
    <mergeCell ref="I5:K5"/>
  </mergeCell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I16" sqref="I16"/>
    </sheetView>
  </sheetViews>
  <sheetFormatPr baseColWidth="10" defaultColWidth="11.42578125" defaultRowHeight="15" x14ac:dyDescent="0.25"/>
  <cols>
    <col min="1" max="1" width="26.28515625" style="5" customWidth="1"/>
    <col min="2" max="2" width="11.42578125" style="5"/>
    <col min="3" max="3" width="13.140625" style="5" bestFit="1" customWidth="1"/>
    <col min="4" max="9" width="11.42578125" style="5"/>
    <col min="10" max="10" width="13.140625" style="5" bestFit="1" customWidth="1"/>
    <col min="11" max="16384" width="11.42578125" style="5"/>
  </cols>
  <sheetData>
    <row r="1" spans="1:11" x14ac:dyDescent="0.25">
      <c r="B1" s="5" t="s">
        <v>243</v>
      </c>
      <c r="C1" s="5" t="s">
        <v>244</v>
      </c>
      <c r="D1" s="5" t="s">
        <v>245</v>
      </c>
    </row>
    <row r="2" spans="1:11" x14ac:dyDescent="0.25">
      <c r="A2" s="5" t="s">
        <v>246</v>
      </c>
      <c r="B2" s="5" t="s">
        <v>247</v>
      </c>
      <c r="C2" s="5" t="s">
        <v>248</v>
      </c>
      <c r="D2" s="5" t="s">
        <v>151</v>
      </c>
    </row>
    <row r="3" spans="1:11" x14ac:dyDescent="0.25">
      <c r="A3" s="5" t="s">
        <v>249</v>
      </c>
      <c r="B3" s="5" t="s">
        <v>151</v>
      </c>
      <c r="C3" s="5" t="s">
        <v>248</v>
      </c>
      <c r="D3" s="5" t="s">
        <v>250</v>
      </c>
    </row>
    <row r="6" spans="1:11" x14ac:dyDescent="0.25">
      <c r="B6" s="5">
        <v>2017</v>
      </c>
      <c r="C6" s="5">
        <v>2018</v>
      </c>
      <c r="D6" s="5">
        <v>2019</v>
      </c>
      <c r="I6" s="5">
        <v>2017</v>
      </c>
      <c r="J6" s="5">
        <v>2018</v>
      </c>
      <c r="K6" s="5">
        <v>2019</v>
      </c>
    </row>
    <row r="7" spans="1:11" x14ac:dyDescent="0.25">
      <c r="B7" s="5" t="s">
        <v>247</v>
      </c>
      <c r="C7" s="5" t="s">
        <v>248</v>
      </c>
      <c r="D7" s="5" t="s">
        <v>151</v>
      </c>
      <c r="I7" s="5" t="s">
        <v>151</v>
      </c>
      <c r="J7" s="5" t="s">
        <v>248</v>
      </c>
      <c r="K7" s="5" t="s">
        <v>250</v>
      </c>
    </row>
    <row r="8" spans="1:11" x14ac:dyDescent="0.25">
      <c r="A8" s="5" t="s">
        <v>361</v>
      </c>
      <c r="B8" s="114">
        <v>2.7</v>
      </c>
      <c r="C8" s="114">
        <v>5.5</v>
      </c>
      <c r="D8" s="114">
        <v>7.9</v>
      </c>
      <c r="E8" s="114"/>
      <c r="F8" s="114"/>
      <c r="G8" s="114"/>
      <c r="H8" s="114"/>
      <c r="I8" s="114">
        <v>9.6</v>
      </c>
      <c r="J8" s="114">
        <v>6.57</v>
      </c>
      <c r="K8" s="114">
        <v>4.0999999999999996</v>
      </c>
    </row>
    <row r="9" spans="1:11" x14ac:dyDescent="0.25">
      <c r="A9" s="5" t="s">
        <v>402</v>
      </c>
      <c r="B9" s="114">
        <v>299</v>
      </c>
      <c r="C9" s="114">
        <v>144.13999999999999</v>
      </c>
      <c r="D9" s="114">
        <v>187</v>
      </c>
      <c r="E9" s="114"/>
      <c r="F9" s="114"/>
      <c r="G9" s="114"/>
      <c r="H9" s="114"/>
      <c r="I9" s="114">
        <v>187</v>
      </c>
      <c r="J9" s="114">
        <v>144.13999999999999</v>
      </c>
      <c r="K9" s="114">
        <v>304.88</v>
      </c>
    </row>
    <row r="10" spans="1:11" x14ac:dyDescent="0.25">
      <c r="A10" s="5" t="s">
        <v>403</v>
      </c>
      <c r="B10" s="114">
        <v>807.3</v>
      </c>
      <c r="C10" s="114">
        <f>C8*C9</f>
        <v>792.77</v>
      </c>
      <c r="D10" s="114">
        <f>D8*D9</f>
        <v>1477.3</v>
      </c>
      <c r="E10" s="114"/>
      <c r="F10" s="114"/>
      <c r="G10" s="114"/>
      <c r="H10" s="114"/>
      <c r="I10" s="114">
        <v>1795.2</v>
      </c>
      <c r="J10" s="114">
        <v>947</v>
      </c>
      <c r="K10" s="114">
        <v>1250</v>
      </c>
    </row>
    <row r="11" spans="1:11" x14ac:dyDescent="0.25">
      <c r="A11" s="102" t="s">
        <v>404</v>
      </c>
      <c r="B11" s="114"/>
      <c r="C11" s="114"/>
      <c r="D11" s="114"/>
      <c r="E11" s="114"/>
      <c r="F11" s="114"/>
      <c r="G11" s="114"/>
      <c r="H11" s="114"/>
      <c r="I11" s="114"/>
      <c r="J11" s="114"/>
      <c r="K11" s="114"/>
    </row>
    <row r="12" spans="1:11" x14ac:dyDescent="0.25">
      <c r="A12" s="5" t="s">
        <v>405</v>
      </c>
      <c r="B12" s="114">
        <v>484.66</v>
      </c>
      <c r="C12" s="114">
        <v>733.67</v>
      </c>
      <c r="D12" s="114">
        <v>723.1</v>
      </c>
      <c r="E12" s="114"/>
      <c r="F12" s="114"/>
      <c r="G12" s="114"/>
      <c r="H12" s="114"/>
      <c r="I12" s="114">
        <v>755.38</v>
      </c>
      <c r="J12" s="114">
        <v>730.51</v>
      </c>
      <c r="K12" s="114">
        <v>671.78</v>
      </c>
    </row>
    <row r="13" spans="1:11" x14ac:dyDescent="0.25">
      <c r="A13" s="5" t="s">
        <v>406</v>
      </c>
      <c r="B13" s="114">
        <f>B10-B12</f>
        <v>322.63999999999993</v>
      </c>
      <c r="C13" s="114">
        <f>C10-C12</f>
        <v>59.100000000000023</v>
      </c>
      <c r="D13" s="114">
        <f>D10-D12</f>
        <v>754.19999999999993</v>
      </c>
      <c r="E13" s="114"/>
      <c r="F13" s="114"/>
      <c r="G13" s="114"/>
      <c r="H13" s="114"/>
      <c r="I13" s="114">
        <f>I10-I12</f>
        <v>1039.8200000000002</v>
      </c>
      <c r="J13" s="114">
        <f>J10-J12</f>
        <v>216.49</v>
      </c>
      <c r="K13" s="114">
        <f>K10-K12</f>
        <v>578.22</v>
      </c>
    </row>
    <row r="15" spans="1:11" x14ac:dyDescent="0.25">
      <c r="A15" s="5" t="s">
        <v>407</v>
      </c>
      <c r="B15" s="95">
        <f>(D13+B13+C13)/3</f>
        <v>378.6466666666667</v>
      </c>
      <c r="C15" s="95"/>
      <c r="D15" s="95"/>
      <c r="E15" s="95"/>
      <c r="F15" s="95"/>
      <c r="G15" s="95"/>
      <c r="H15" s="95"/>
      <c r="I15" s="95">
        <f>(I13+J13+K13)/3</f>
        <v>611.5100000000001</v>
      </c>
    </row>
    <row r="18" spans="1:11" x14ac:dyDescent="0.25">
      <c r="A18" s="5" t="s">
        <v>35</v>
      </c>
      <c r="B18" s="5">
        <v>42.3</v>
      </c>
      <c r="C18" s="5">
        <v>71</v>
      </c>
      <c r="D18" s="5">
        <v>46.5</v>
      </c>
      <c r="I18" s="5">
        <v>82.05</v>
      </c>
      <c r="J18" s="5">
        <v>67.84</v>
      </c>
      <c r="K18" s="5">
        <v>76.5</v>
      </c>
    </row>
    <row r="19" spans="1:11" x14ac:dyDescent="0.25">
      <c r="A19" s="5" t="s">
        <v>68</v>
      </c>
      <c r="B19" s="5">
        <v>67.52</v>
      </c>
      <c r="C19" s="5">
        <v>138</v>
      </c>
      <c r="D19" s="5">
        <v>164.22</v>
      </c>
      <c r="I19" s="5">
        <v>120.25</v>
      </c>
      <c r="J19" s="5">
        <v>138</v>
      </c>
      <c r="K19" s="5">
        <v>80.86</v>
      </c>
    </row>
    <row r="20" spans="1:11" x14ac:dyDescent="0.25">
      <c r="A20" s="5" t="s">
        <v>41</v>
      </c>
      <c r="B20" s="5">
        <v>13.84</v>
      </c>
      <c r="C20" s="5">
        <v>32.67</v>
      </c>
      <c r="D20" s="5">
        <v>64.38</v>
      </c>
      <c r="I20" s="5">
        <v>73.25</v>
      </c>
      <c r="J20" s="5">
        <v>32.67</v>
      </c>
      <c r="K20" s="5">
        <v>89.42</v>
      </c>
    </row>
    <row r="21" spans="1:11" x14ac:dyDescent="0.25">
      <c r="A21" s="5" t="s">
        <v>42</v>
      </c>
      <c r="B21" s="5">
        <v>361</v>
      </c>
      <c r="C21" s="5">
        <v>492</v>
      </c>
      <c r="D21" s="5">
        <v>448</v>
      </c>
      <c r="I21" s="5">
        <v>479.83</v>
      </c>
      <c r="J21" s="5">
        <v>492</v>
      </c>
      <c r="K21" s="5">
        <v>425</v>
      </c>
    </row>
    <row r="22" spans="1:11" x14ac:dyDescent="0.25">
      <c r="A22" s="5" t="s">
        <v>43</v>
      </c>
      <c r="B22" s="5" t="s">
        <v>105</v>
      </c>
      <c r="C22" s="5" t="s">
        <v>105</v>
      </c>
      <c r="D22" s="5" t="s">
        <v>105</v>
      </c>
      <c r="I22" s="5" t="s">
        <v>105</v>
      </c>
      <c r="J22" s="5" t="s">
        <v>105</v>
      </c>
      <c r="K22" s="5" t="s">
        <v>105</v>
      </c>
    </row>
    <row r="23" spans="1:11" x14ac:dyDescent="0.25">
      <c r="A23" s="5" t="s">
        <v>44</v>
      </c>
      <c r="B23" s="5" t="s">
        <v>105</v>
      </c>
      <c r="C23" s="5" t="s">
        <v>105</v>
      </c>
      <c r="D23" s="5" t="s">
        <v>122</v>
      </c>
      <c r="I23" s="5" t="s">
        <v>122</v>
      </c>
      <c r="J23" s="5" t="s">
        <v>105</v>
      </c>
      <c r="K23" s="5" t="s">
        <v>122</v>
      </c>
    </row>
    <row r="24" spans="1:11" x14ac:dyDescent="0.25">
      <c r="A24" s="5" t="s">
        <v>45</v>
      </c>
      <c r="B24" s="5" t="s">
        <v>105</v>
      </c>
      <c r="C24" s="5" t="s">
        <v>105</v>
      </c>
      <c r="D24" s="5" t="s">
        <v>105</v>
      </c>
      <c r="I24" s="5" t="s">
        <v>105</v>
      </c>
      <c r="J24" s="5" t="s">
        <v>105</v>
      </c>
      <c r="K24" s="5" t="s">
        <v>105</v>
      </c>
    </row>
    <row r="25" spans="1:11" x14ac:dyDescent="0.25">
      <c r="A25" s="5" t="s">
        <v>46</v>
      </c>
      <c r="B25" s="5">
        <v>484.65999999999997</v>
      </c>
      <c r="C25" s="5">
        <v>733.67000000000007</v>
      </c>
      <c r="D25" s="5">
        <v>723.1</v>
      </c>
      <c r="I25" s="5">
        <v>755.38</v>
      </c>
      <c r="J25" s="5">
        <v>730.51</v>
      </c>
      <c r="K25" s="5">
        <v>671.78</v>
      </c>
    </row>
    <row r="26" spans="1:11" x14ac:dyDescent="0.25">
      <c r="A26" s="5" t="s">
        <v>69</v>
      </c>
      <c r="B26" s="5" t="s">
        <v>105</v>
      </c>
      <c r="C26" s="5" t="s">
        <v>105</v>
      </c>
      <c r="D26" s="5" t="s">
        <v>105</v>
      </c>
      <c r="I26" s="5" t="s">
        <v>105</v>
      </c>
      <c r="J26" s="5" t="s">
        <v>105</v>
      </c>
      <c r="K26" s="5" t="s">
        <v>105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I24" sqref="I24"/>
    </sheetView>
  </sheetViews>
  <sheetFormatPr baseColWidth="10" defaultColWidth="11.42578125" defaultRowHeight="15" x14ac:dyDescent="0.25"/>
  <cols>
    <col min="1" max="1" width="23" style="5" bestFit="1" customWidth="1"/>
    <col min="2" max="7" width="11.42578125" style="5"/>
    <col min="8" max="8" width="23" style="5" bestFit="1" customWidth="1"/>
    <col min="9" max="9" width="11.42578125" style="5"/>
    <col min="10" max="10" width="13.140625" style="5" bestFit="1" customWidth="1"/>
    <col min="11" max="16384" width="11.42578125" style="5"/>
  </cols>
  <sheetData>
    <row r="1" spans="1:17" x14ac:dyDescent="0.25">
      <c r="B1" s="5" t="s">
        <v>243</v>
      </c>
      <c r="C1" s="5" t="s">
        <v>244</v>
      </c>
      <c r="D1" s="5" t="s">
        <v>245</v>
      </c>
    </row>
    <row r="2" spans="1:17" x14ac:dyDescent="0.25">
      <c r="A2" s="5" t="s">
        <v>246</v>
      </c>
      <c r="B2" s="5" t="s">
        <v>151</v>
      </c>
      <c r="C2" s="5" t="s">
        <v>247</v>
      </c>
      <c r="D2" s="5" t="s">
        <v>248</v>
      </c>
    </row>
    <row r="3" spans="1:17" x14ac:dyDescent="0.25">
      <c r="A3" s="5" t="s">
        <v>249</v>
      </c>
      <c r="B3" s="5" t="s">
        <v>151</v>
      </c>
      <c r="C3" s="5" t="s">
        <v>248</v>
      </c>
      <c r="D3" s="5" t="s">
        <v>250</v>
      </c>
    </row>
    <row r="7" spans="1:17" x14ac:dyDescent="0.25">
      <c r="A7" s="96"/>
      <c r="B7" s="6" t="s">
        <v>151</v>
      </c>
      <c r="C7" s="6" t="s">
        <v>247</v>
      </c>
      <c r="D7" s="6" t="s">
        <v>248</v>
      </c>
      <c r="E7" s="98"/>
      <c r="F7" s="98"/>
      <c r="G7" s="98"/>
      <c r="H7" s="97"/>
      <c r="I7" s="98" t="s">
        <v>151</v>
      </c>
      <c r="J7" s="98" t="s">
        <v>248</v>
      </c>
      <c r="K7" s="98" t="s">
        <v>250</v>
      </c>
    </row>
    <row r="8" spans="1:17" x14ac:dyDescent="0.25">
      <c r="A8" s="99" t="s">
        <v>361</v>
      </c>
      <c r="B8" s="100">
        <v>7.9</v>
      </c>
      <c r="C8" s="100">
        <v>2.7</v>
      </c>
      <c r="D8" s="100">
        <v>5.5</v>
      </c>
      <c r="E8" s="100"/>
      <c r="F8" s="100"/>
      <c r="G8" s="100"/>
      <c r="H8" s="99" t="s">
        <v>361</v>
      </c>
      <c r="I8" s="100">
        <v>9.6</v>
      </c>
      <c r="J8" s="100">
        <v>6.57</v>
      </c>
      <c r="K8" s="100">
        <v>4.0999999999999996</v>
      </c>
    </row>
    <row r="9" spans="1:17" x14ac:dyDescent="0.25">
      <c r="A9" s="97" t="s">
        <v>278</v>
      </c>
      <c r="H9" s="97" t="s">
        <v>278</v>
      </c>
    </row>
    <row r="10" spans="1:17" x14ac:dyDescent="0.25">
      <c r="A10" s="96" t="s">
        <v>32</v>
      </c>
      <c r="B10" s="5" t="s">
        <v>153</v>
      </c>
      <c r="C10" s="5" t="s">
        <v>165</v>
      </c>
      <c r="D10" s="5" t="s">
        <v>153</v>
      </c>
      <c r="H10" s="96" t="s">
        <v>32</v>
      </c>
      <c r="I10" s="5" t="s">
        <v>153</v>
      </c>
      <c r="J10" s="5" t="s">
        <v>153</v>
      </c>
      <c r="K10" s="5" t="s">
        <v>206</v>
      </c>
    </row>
    <row r="11" spans="1:17" x14ac:dyDescent="0.25">
      <c r="A11" s="96" t="s">
        <v>251</v>
      </c>
      <c r="B11" s="88">
        <v>0.46</v>
      </c>
      <c r="C11" s="88">
        <v>0.15</v>
      </c>
      <c r="D11" s="88">
        <v>0.46</v>
      </c>
      <c r="H11" s="96" t="s">
        <v>251</v>
      </c>
      <c r="I11" s="88">
        <v>0.46</v>
      </c>
      <c r="J11" s="88">
        <v>0.46</v>
      </c>
      <c r="K11" s="88">
        <v>0.35</v>
      </c>
      <c r="O11" s="88"/>
      <c r="P11" s="88"/>
      <c r="Q11" s="88"/>
    </row>
    <row r="12" spans="1:17" x14ac:dyDescent="0.25">
      <c r="A12" s="96" t="s">
        <v>408</v>
      </c>
      <c r="B12" s="5">
        <v>200</v>
      </c>
      <c r="C12" s="5">
        <v>200</v>
      </c>
      <c r="D12" s="5">
        <v>150</v>
      </c>
      <c r="H12" s="96" t="s">
        <v>408</v>
      </c>
      <c r="I12" s="5">
        <v>250</v>
      </c>
      <c r="J12" s="5">
        <v>150</v>
      </c>
      <c r="K12" s="5">
        <v>50</v>
      </c>
    </row>
    <row r="13" spans="1:17" x14ac:dyDescent="0.25">
      <c r="A13" s="96" t="s">
        <v>409</v>
      </c>
      <c r="B13" s="5">
        <f>B11*B12</f>
        <v>92</v>
      </c>
      <c r="C13" s="5">
        <f>C11*C12</f>
        <v>30</v>
      </c>
      <c r="D13" s="5">
        <f>D11*D12</f>
        <v>69</v>
      </c>
      <c r="H13" s="96" t="s">
        <v>409</v>
      </c>
      <c r="I13" s="5">
        <f>I11*I12</f>
        <v>115</v>
      </c>
      <c r="J13" s="5">
        <f>J11*J12</f>
        <v>69</v>
      </c>
      <c r="K13" s="5">
        <f>K11*K12</f>
        <v>17.5</v>
      </c>
    </row>
    <row r="14" spans="1:17" x14ac:dyDescent="0.25">
      <c r="A14" s="96"/>
      <c r="H14" s="96"/>
    </row>
    <row r="15" spans="1:17" x14ac:dyDescent="0.25">
      <c r="A15" s="96" t="s">
        <v>32</v>
      </c>
      <c r="B15" s="5" t="s">
        <v>165</v>
      </c>
      <c r="D15" s="5" t="s">
        <v>252</v>
      </c>
      <c r="H15" s="96" t="s">
        <v>32</v>
      </c>
      <c r="I15" s="5" t="s">
        <v>165</v>
      </c>
      <c r="J15" s="5" t="s">
        <v>252</v>
      </c>
      <c r="K15" s="5" t="s">
        <v>165</v>
      </c>
    </row>
    <row r="16" spans="1:17" x14ac:dyDescent="0.25">
      <c r="A16" s="96" t="s">
        <v>251</v>
      </c>
      <c r="B16" s="88">
        <v>0.15</v>
      </c>
      <c r="D16" s="88">
        <v>0.12</v>
      </c>
      <c r="H16" s="96" t="s">
        <v>251</v>
      </c>
      <c r="I16" s="88">
        <v>0.15</v>
      </c>
      <c r="J16" s="88">
        <v>0.12</v>
      </c>
      <c r="K16" s="88">
        <v>0.15</v>
      </c>
      <c r="P16" s="88"/>
      <c r="Q16" s="88"/>
    </row>
    <row r="17" spans="1:11" x14ac:dyDescent="0.25">
      <c r="A17" s="96" t="s">
        <v>408</v>
      </c>
      <c r="B17" s="5">
        <v>250</v>
      </c>
      <c r="D17" s="5">
        <v>150</v>
      </c>
      <c r="H17" s="96" t="s">
        <v>408</v>
      </c>
      <c r="I17" s="5">
        <v>150</v>
      </c>
      <c r="J17" s="5">
        <v>150</v>
      </c>
      <c r="K17" s="5">
        <v>200</v>
      </c>
    </row>
    <row r="18" spans="1:11" x14ac:dyDescent="0.25">
      <c r="A18" s="96" t="s">
        <v>409</v>
      </c>
      <c r="B18" s="5">
        <f>B16*B17</f>
        <v>37.5</v>
      </c>
      <c r="D18" s="5">
        <f>D16*D17</f>
        <v>18</v>
      </c>
      <c r="H18" s="96" t="s">
        <v>409</v>
      </c>
      <c r="I18" s="5">
        <f>I16*I17</f>
        <v>22.5</v>
      </c>
      <c r="J18" s="5">
        <f>J16*J17</f>
        <v>18</v>
      </c>
      <c r="K18" s="5">
        <f>K16*K17</f>
        <v>30</v>
      </c>
    </row>
    <row r="19" spans="1:11" x14ac:dyDescent="0.25">
      <c r="A19" s="96"/>
      <c r="H19" s="96"/>
    </row>
    <row r="20" spans="1:11" x14ac:dyDescent="0.25">
      <c r="A20" s="96"/>
      <c r="H20" s="96"/>
    </row>
    <row r="21" spans="1:11" x14ac:dyDescent="0.25">
      <c r="A21" s="96" t="s">
        <v>410</v>
      </c>
      <c r="B21" s="5">
        <f>B13+B18</f>
        <v>129.5</v>
      </c>
      <c r="C21" s="5">
        <f>C13+C18</f>
        <v>30</v>
      </c>
      <c r="D21" s="5">
        <f>D13+D18</f>
        <v>87</v>
      </c>
      <c r="H21" s="96" t="s">
        <v>410</v>
      </c>
      <c r="I21" s="5">
        <f>I13+I18</f>
        <v>137.5</v>
      </c>
      <c r="J21" s="5">
        <f>J13+J18</f>
        <v>87</v>
      </c>
      <c r="K21" s="5">
        <f>K13+K18</f>
        <v>47.5</v>
      </c>
    </row>
    <row r="22" spans="1:11" x14ac:dyDescent="0.25">
      <c r="A22" s="96"/>
      <c r="H22" s="96"/>
    </row>
    <row r="23" spans="1:11" x14ac:dyDescent="0.25">
      <c r="A23" s="96" t="s">
        <v>411</v>
      </c>
      <c r="B23" s="5">
        <f>(B21+C21+D21)/3</f>
        <v>82.166666666666671</v>
      </c>
      <c r="H23" s="96" t="s">
        <v>411</v>
      </c>
      <c r="I23" s="5">
        <f>(I21+J21+K21)/3</f>
        <v>90.666666666666671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B20" sqref="B20"/>
    </sheetView>
  </sheetViews>
  <sheetFormatPr baseColWidth="10" defaultColWidth="11.42578125" defaultRowHeight="15" x14ac:dyDescent="0.25"/>
  <cols>
    <col min="1" max="1" width="29.7109375" style="5" bestFit="1" customWidth="1"/>
    <col min="2" max="6" width="11.42578125" style="5"/>
    <col min="7" max="7" width="13.140625" style="5" bestFit="1" customWidth="1"/>
    <col min="8" max="10" width="11.42578125" style="5"/>
    <col min="11" max="11" width="17.28515625" style="5" customWidth="1"/>
    <col min="12" max="12" width="20" style="5" customWidth="1"/>
    <col min="13" max="13" width="22" style="5" bestFit="1" customWidth="1"/>
    <col min="14" max="14" width="11.42578125" style="5"/>
    <col min="15" max="15" width="15.5703125" style="5" customWidth="1"/>
    <col min="16" max="16384" width="11.42578125" style="5"/>
  </cols>
  <sheetData>
    <row r="1" spans="1:16" x14ac:dyDescent="0.25">
      <c r="B1" s="5" t="s">
        <v>243</v>
      </c>
      <c r="C1" s="5" t="s">
        <v>244</v>
      </c>
      <c r="D1" s="5" t="s">
        <v>245</v>
      </c>
      <c r="K1" s="6" t="s">
        <v>280</v>
      </c>
      <c r="L1" s="6" t="s">
        <v>374</v>
      </c>
      <c r="M1" s="6" t="s">
        <v>377</v>
      </c>
      <c r="N1" s="6"/>
      <c r="O1" s="6" t="s">
        <v>280</v>
      </c>
      <c r="P1" s="58" t="s">
        <v>281</v>
      </c>
    </row>
    <row r="2" spans="1:16" x14ac:dyDescent="0.25">
      <c r="A2" s="5" t="s">
        <v>246</v>
      </c>
      <c r="B2" s="5" t="s">
        <v>151</v>
      </c>
      <c r="C2" s="5" t="s">
        <v>247</v>
      </c>
      <c r="D2" s="5" t="s">
        <v>248</v>
      </c>
      <c r="K2" s="111" t="s">
        <v>379</v>
      </c>
      <c r="L2" s="115">
        <v>0.10299999999999999</v>
      </c>
      <c r="M2" s="102">
        <v>18</v>
      </c>
      <c r="N2" s="102"/>
      <c r="O2" s="59" t="s">
        <v>282</v>
      </c>
      <c r="P2" s="37">
        <v>0.85</v>
      </c>
    </row>
    <row r="3" spans="1:16" x14ac:dyDescent="0.25">
      <c r="A3" s="5" t="s">
        <v>249</v>
      </c>
      <c r="B3" s="5" t="s">
        <v>151</v>
      </c>
      <c r="C3" s="5" t="s">
        <v>248</v>
      </c>
      <c r="D3" s="5" t="s">
        <v>250</v>
      </c>
      <c r="K3" s="112" t="s">
        <v>380</v>
      </c>
      <c r="L3" s="115">
        <v>0.11700000000000001</v>
      </c>
      <c r="M3" s="5">
        <v>18.100000000000001</v>
      </c>
      <c r="O3" s="5" t="s">
        <v>283</v>
      </c>
      <c r="P3" s="5">
        <v>0.88</v>
      </c>
    </row>
    <row r="4" spans="1:16" x14ac:dyDescent="0.25">
      <c r="K4" s="90" t="s">
        <v>381</v>
      </c>
      <c r="L4" s="115">
        <v>0.126</v>
      </c>
      <c r="M4" s="5">
        <v>18.2</v>
      </c>
      <c r="O4" s="5" t="s">
        <v>284</v>
      </c>
      <c r="P4" s="5">
        <v>0.89</v>
      </c>
    </row>
    <row r="5" spans="1:16" x14ac:dyDescent="0.25">
      <c r="K5" s="90" t="s">
        <v>286</v>
      </c>
      <c r="L5" s="115">
        <v>0.11799999999999999</v>
      </c>
      <c r="M5" s="102">
        <v>18.399999999999999</v>
      </c>
      <c r="O5" s="5" t="s">
        <v>285</v>
      </c>
      <c r="P5" s="5">
        <v>0.89</v>
      </c>
    </row>
    <row r="6" spans="1:16" x14ac:dyDescent="0.25">
      <c r="K6" s="111" t="s">
        <v>352</v>
      </c>
      <c r="L6" s="115">
        <v>0.28999999999999998</v>
      </c>
      <c r="M6" s="102">
        <v>18.7</v>
      </c>
      <c r="N6" s="102"/>
      <c r="O6" s="5" t="s">
        <v>286</v>
      </c>
      <c r="P6" s="5">
        <v>0.89</v>
      </c>
    </row>
    <row r="7" spans="1:16" x14ac:dyDescent="0.25">
      <c r="B7" s="5" t="s">
        <v>151</v>
      </c>
      <c r="C7" s="5" t="s">
        <v>247</v>
      </c>
      <c r="D7" s="5" t="s">
        <v>248</v>
      </c>
      <c r="F7" s="5" t="s">
        <v>151</v>
      </c>
      <c r="G7" s="5" t="s">
        <v>248</v>
      </c>
      <c r="H7" s="5" t="s">
        <v>250</v>
      </c>
      <c r="K7" s="5" t="s">
        <v>382</v>
      </c>
      <c r="L7" s="115">
        <v>0.20899999999999999</v>
      </c>
      <c r="M7" s="5">
        <v>28.8</v>
      </c>
      <c r="O7" s="5" t="s">
        <v>287</v>
      </c>
      <c r="P7" s="5">
        <v>0.89</v>
      </c>
    </row>
    <row r="8" spans="1:16" x14ac:dyDescent="0.25">
      <c r="A8" s="5" t="s">
        <v>371</v>
      </c>
      <c r="B8" s="5">
        <v>7.9</v>
      </c>
      <c r="C8" s="5">
        <v>2.7</v>
      </c>
      <c r="D8" s="5">
        <v>5.5</v>
      </c>
      <c r="F8" s="5">
        <v>9.6</v>
      </c>
      <c r="G8" s="5">
        <v>6.57</v>
      </c>
      <c r="H8" s="5">
        <v>4.0999999999999996</v>
      </c>
      <c r="K8" s="5" t="s">
        <v>383</v>
      </c>
      <c r="L8" s="115">
        <v>0.33700000000000002</v>
      </c>
      <c r="M8" s="102">
        <v>20.3</v>
      </c>
      <c r="N8" s="102"/>
      <c r="O8" s="5" t="s">
        <v>288</v>
      </c>
      <c r="P8" s="5">
        <v>0.87</v>
      </c>
    </row>
    <row r="9" spans="1:16" x14ac:dyDescent="0.25">
      <c r="A9" s="5" t="s">
        <v>372</v>
      </c>
      <c r="B9" s="88">
        <v>0.87</v>
      </c>
      <c r="C9" s="88">
        <v>0.85</v>
      </c>
      <c r="D9" s="88">
        <v>0.89</v>
      </c>
      <c r="E9" s="88"/>
      <c r="F9" s="88">
        <v>0.87</v>
      </c>
      <c r="G9" s="88">
        <v>0.89</v>
      </c>
      <c r="H9" s="88">
        <v>0.91</v>
      </c>
      <c r="K9" s="5" t="s">
        <v>384</v>
      </c>
      <c r="L9" s="115">
        <v>0.23899999999999999</v>
      </c>
      <c r="M9" s="102">
        <v>18.3</v>
      </c>
      <c r="O9" s="5" t="s">
        <v>289</v>
      </c>
      <c r="P9" s="5">
        <v>0.88</v>
      </c>
    </row>
    <row r="10" spans="1:16" x14ac:dyDescent="0.25">
      <c r="A10" s="5" t="s">
        <v>373</v>
      </c>
      <c r="B10" s="5">
        <f>B8*B9</f>
        <v>6.8730000000000002</v>
      </c>
      <c r="C10" s="5">
        <f t="shared" ref="C10:D10" si="0">C8*C9</f>
        <v>2.2949999999999999</v>
      </c>
      <c r="D10" s="5">
        <f t="shared" si="0"/>
        <v>4.8950000000000005</v>
      </c>
      <c r="F10" s="5">
        <f>F8*F9</f>
        <v>8.3520000000000003</v>
      </c>
      <c r="G10" s="5">
        <f t="shared" ref="G10:H10" si="1">G8*G9</f>
        <v>5.8473000000000006</v>
      </c>
      <c r="H10" s="5">
        <f t="shared" si="1"/>
        <v>3.7309999999999999</v>
      </c>
      <c r="K10" s="5" t="s">
        <v>385</v>
      </c>
      <c r="L10" s="115">
        <v>0.11</v>
      </c>
      <c r="M10" s="102">
        <v>19.5</v>
      </c>
      <c r="N10" s="102"/>
      <c r="O10" s="5" t="s">
        <v>290</v>
      </c>
      <c r="P10" s="5">
        <v>0.89</v>
      </c>
    </row>
    <row r="11" spans="1:16" x14ac:dyDescent="0.25">
      <c r="A11" s="5" t="s">
        <v>374</v>
      </c>
      <c r="B11" s="89">
        <v>9.4E-2</v>
      </c>
      <c r="C11" s="89">
        <v>0.16600000000000001</v>
      </c>
      <c r="D11" s="89">
        <v>0.126</v>
      </c>
      <c r="F11" s="89">
        <v>9.4E-2</v>
      </c>
      <c r="G11" s="89">
        <v>0.126</v>
      </c>
      <c r="H11" s="89">
        <v>0.39600000000000002</v>
      </c>
      <c r="K11" s="111" t="s">
        <v>386</v>
      </c>
      <c r="L11" s="115">
        <v>0.08</v>
      </c>
      <c r="M11" s="114">
        <v>18.899999999999999</v>
      </c>
      <c r="N11" s="102"/>
      <c r="O11" s="5" t="s">
        <v>291</v>
      </c>
      <c r="P11" s="94">
        <v>0.9</v>
      </c>
    </row>
    <row r="12" spans="1:16" x14ac:dyDescent="0.25">
      <c r="A12" s="5" t="s">
        <v>375</v>
      </c>
      <c r="B12" s="5">
        <f>B10*B11</f>
        <v>0.64606200000000003</v>
      </c>
      <c r="C12" s="5">
        <f t="shared" ref="C12:D12" si="2">C10*C11</f>
        <v>0.38097000000000003</v>
      </c>
      <c r="D12" s="5">
        <f t="shared" si="2"/>
        <v>0.61677000000000004</v>
      </c>
      <c r="F12" s="5">
        <f>F10*F11</f>
        <v>0.78508800000000001</v>
      </c>
      <c r="G12" s="5">
        <f t="shared" ref="G12:H12" si="3">G10*G11</f>
        <v>0.73675980000000008</v>
      </c>
      <c r="H12" s="5">
        <f t="shared" si="3"/>
        <v>1.477476</v>
      </c>
      <c r="K12" s="111" t="s">
        <v>387</v>
      </c>
      <c r="L12" s="115">
        <v>0.191</v>
      </c>
      <c r="M12" s="5">
        <v>18.2</v>
      </c>
      <c r="O12" s="5" t="s">
        <v>292</v>
      </c>
      <c r="P12" s="5">
        <v>0.89</v>
      </c>
    </row>
    <row r="13" spans="1:16" x14ac:dyDescent="0.25">
      <c r="K13" s="91" t="s">
        <v>250</v>
      </c>
      <c r="L13" s="115">
        <v>0.39600000000000002</v>
      </c>
      <c r="M13" s="102">
        <v>23.6</v>
      </c>
      <c r="O13" s="5" t="s">
        <v>293</v>
      </c>
      <c r="P13" s="5">
        <v>0.91</v>
      </c>
    </row>
    <row r="14" spans="1:16" x14ac:dyDescent="0.25">
      <c r="A14" s="5" t="s">
        <v>376</v>
      </c>
      <c r="C14" s="95">
        <f>((B12+C12+D12)/3)*1000</f>
        <v>547.93400000000008</v>
      </c>
      <c r="D14" s="95"/>
      <c r="E14" s="95"/>
      <c r="F14" s="95"/>
      <c r="G14" s="95">
        <f>((F12+G12+H12)/3)*1000</f>
        <v>999.77459999999996</v>
      </c>
      <c r="K14" s="5" t="s">
        <v>388</v>
      </c>
      <c r="L14" s="115">
        <v>9.4E-2</v>
      </c>
      <c r="M14" s="5">
        <v>18.7</v>
      </c>
      <c r="N14" s="102"/>
      <c r="O14" s="5" t="s">
        <v>294</v>
      </c>
      <c r="P14" s="5">
        <v>0.91</v>
      </c>
    </row>
    <row r="15" spans="1:16" x14ac:dyDescent="0.25">
      <c r="K15" s="91" t="s">
        <v>247</v>
      </c>
      <c r="L15" s="115">
        <v>0.16600000000000001</v>
      </c>
      <c r="M15" s="5">
        <v>28.7</v>
      </c>
      <c r="O15" s="5" t="s">
        <v>295</v>
      </c>
      <c r="P15" s="5">
        <v>0.22</v>
      </c>
    </row>
    <row r="16" spans="1:16" x14ac:dyDescent="0.25">
      <c r="A16" s="5" t="s">
        <v>377</v>
      </c>
      <c r="B16" s="5">
        <v>18.7</v>
      </c>
      <c r="C16" s="102">
        <v>28.7</v>
      </c>
      <c r="D16" s="5">
        <v>18.2</v>
      </c>
      <c r="F16" s="5">
        <v>18.7</v>
      </c>
      <c r="G16" s="5">
        <v>18.2</v>
      </c>
      <c r="H16" s="102">
        <v>23.6</v>
      </c>
      <c r="K16" s="92" t="s">
        <v>389</v>
      </c>
      <c r="L16" s="115">
        <v>0.248</v>
      </c>
      <c r="M16" s="5">
        <v>18.600000000000001</v>
      </c>
      <c r="O16" s="5" t="s">
        <v>296</v>
      </c>
      <c r="P16" s="5">
        <v>0.94</v>
      </c>
    </row>
    <row r="17" spans="1:16" x14ac:dyDescent="0.25">
      <c r="A17" s="5" t="s">
        <v>370</v>
      </c>
      <c r="B17" s="94">
        <f>B16*B10</f>
        <v>128.52510000000001</v>
      </c>
      <c r="C17" s="94">
        <f t="shared" ref="C17:H17" si="4">C16*C10</f>
        <v>65.866500000000002</v>
      </c>
      <c r="D17" s="94">
        <f t="shared" si="4"/>
        <v>89.088999999999999</v>
      </c>
      <c r="E17" s="94"/>
      <c r="F17" s="94">
        <f t="shared" si="4"/>
        <v>156.1824</v>
      </c>
      <c r="G17" s="94">
        <f t="shared" si="4"/>
        <v>106.42086</v>
      </c>
      <c r="H17" s="94">
        <f t="shared" si="4"/>
        <v>88.051600000000008</v>
      </c>
      <c r="K17" s="5" t="s">
        <v>390</v>
      </c>
      <c r="L17" s="115">
        <v>0.17699999999999999</v>
      </c>
      <c r="M17" s="5">
        <v>18.5</v>
      </c>
      <c r="N17" s="102"/>
      <c r="O17" s="5" t="s">
        <v>297</v>
      </c>
      <c r="P17" s="5">
        <v>0.9</v>
      </c>
    </row>
    <row r="18" spans="1:16" x14ac:dyDescent="0.25">
      <c r="B18" s="94"/>
      <c r="C18" s="94"/>
      <c r="D18" s="94"/>
      <c r="E18" s="94"/>
      <c r="F18" s="94"/>
      <c r="G18" s="94"/>
      <c r="H18" s="94"/>
      <c r="K18" s="5" t="s">
        <v>391</v>
      </c>
      <c r="L18" s="115">
        <v>7.8E-2</v>
      </c>
      <c r="M18" s="5">
        <v>16.899999999999999</v>
      </c>
      <c r="O18" s="5" t="s">
        <v>298</v>
      </c>
      <c r="P18" s="5">
        <v>0.9</v>
      </c>
    </row>
    <row r="19" spans="1:16" x14ac:dyDescent="0.25">
      <c r="A19" s="5" t="s">
        <v>378</v>
      </c>
      <c r="B19" s="94">
        <f>AVERAGE(B17:D17)</f>
        <v>94.493533333333332</v>
      </c>
      <c r="C19" s="94"/>
      <c r="D19" s="94"/>
      <c r="E19" s="94"/>
      <c r="F19" s="94">
        <f>AVERAGE(F17:H17)</f>
        <v>116.88495333333333</v>
      </c>
      <c r="G19" s="94"/>
      <c r="H19" s="94"/>
      <c r="K19" s="5" t="s">
        <v>392</v>
      </c>
      <c r="L19" s="115">
        <v>0.189</v>
      </c>
      <c r="M19" s="5">
        <v>18.899999999999999</v>
      </c>
      <c r="O19" s="5" t="s">
        <v>299</v>
      </c>
      <c r="P19" s="5">
        <v>0.9</v>
      </c>
    </row>
    <row r="20" spans="1:16" x14ac:dyDescent="0.25">
      <c r="B20" s="94"/>
      <c r="C20" s="94"/>
      <c r="D20" s="94"/>
      <c r="E20" s="94"/>
      <c r="F20" s="94"/>
      <c r="G20" s="94"/>
      <c r="H20" s="94"/>
      <c r="K20" s="5" t="s">
        <v>393</v>
      </c>
      <c r="L20" s="115">
        <v>0.16200000000000001</v>
      </c>
      <c r="M20" s="5">
        <v>18.7</v>
      </c>
      <c r="O20" s="5" t="s">
        <v>300</v>
      </c>
      <c r="P20" s="5">
        <v>0.9</v>
      </c>
    </row>
    <row r="21" spans="1:16" x14ac:dyDescent="0.25">
      <c r="K21" s="5" t="s">
        <v>394</v>
      </c>
      <c r="L21" s="115">
        <v>0.10199999999999999</v>
      </c>
      <c r="M21" s="5">
        <v>17.7</v>
      </c>
      <c r="O21" s="5" t="s">
        <v>301</v>
      </c>
      <c r="P21" s="5">
        <v>0.9</v>
      </c>
    </row>
    <row r="22" spans="1:16" x14ac:dyDescent="0.25">
      <c r="K22" s="5" t="s">
        <v>395</v>
      </c>
      <c r="L22" s="115">
        <v>0.14699999999999999</v>
      </c>
      <c r="M22" s="114">
        <v>18.18</v>
      </c>
      <c r="O22" s="5" t="s">
        <v>302</v>
      </c>
      <c r="P22" s="5">
        <v>0.9</v>
      </c>
    </row>
    <row r="23" spans="1:16" x14ac:dyDescent="0.25">
      <c r="K23" s="5" t="s">
        <v>396</v>
      </c>
      <c r="L23" s="115">
        <v>0.11</v>
      </c>
      <c r="M23" s="5">
        <v>17.899999999999999</v>
      </c>
    </row>
    <row r="24" spans="1:16" x14ac:dyDescent="0.25">
      <c r="K24" s="112" t="s">
        <v>397</v>
      </c>
      <c r="L24" s="115">
        <v>0.17280000000000001</v>
      </c>
      <c r="M24" s="116">
        <v>18.78</v>
      </c>
      <c r="O24" s="5" t="s">
        <v>398</v>
      </c>
    </row>
    <row r="26" spans="1:16" x14ac:dyDescent="0.25">
      <c r="K26" s="102" t="s">
        <v>399</v>
      </c>
      <c r="L26" s="5" t="s">
        <v>400</v>
      </c>
    </row>
    <row r="27" spans="1:16" x14ac:dyDescent="0.25">
      <c r="L27" s="5" t="s">
        <v>401</v>
      </c>
    </row>
  </sheetData>
  <pageMargins left="0.7" right="0.7" top="0.78740157499999996" bottom="0.78740157499999996" header="0.3" footer="0.3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Output</vt:lpstr>
      <vt:lpstr>Data source</vt:lpstr>
      <vt:lpstr>Site characteristics</vt:lpstr>
      <vt:lpstr>Without legumes</vt:lpstr>
      <vt:lpstr>With legumes option 1 </vt:lpstr>
      <vt:lpstr>Data for yield stability</vt:lpstr>
      <vt:lpstr>GM</vt:lpstr>
      <vt:lpstr>N fertilizer</vt:lpstr>
      <vt:lpstr>Protein &amp; Energy Output</vt:lpstr>
      <vt:lpstr>Crop diversity</vt:lpstr>
      <vt:lpstr>NO3</vt:lpstr>
      <vt:lpstr>N2O calculations</vt:lpstr>
      <vt:lpstr>N2O default values</vt:lpstr>
      <vt:lpstr>Mapping crops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notz</dc:creator>
  <cp:lastModifiedBy>notz</cp:lastModifiedBy>
  <dcterms:created xsi:type="dcterms:W3CDTF">2019-08-15T12:33:08Z</dcterms:created>
  <dcterms:modified xsi:type="dcterms:W3CDTF">2020-12-02T08:30:45Z</dcterms:modified>
</cp:coreProperties>
</file>