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1490" windowHeight="4470"/>
  </bookViews>
  <sheets>
    <sheet name="Slides" sheetId="1" r:id="rId1"/>
    <sheet name="Data" sheetId="6" r:id="rId2"/>
    <sheet name="City" sheetId="4" r:id="rId3"/>
    <sheet name="example" sheetId="8" r:id="rId4"/>
    <sheet name="no_use" sheetId="5" r:id="rId5"/>
    <sheet name="No_Use1" sheetId="3" r:id="rId6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/>
  <c r="G13"/>
  <c r="G11"/>
  <c r="G10"/>
  <c r="G6"/>
  <c r="G5"/>
  <c r="G3"/>
  <c r="C14"/>
  <c r="C13"/>
  <c r="C11"/>
  <c r="C10"/>
  <c r="C8"/>
  <c r="C6"/>
  <c r="C5"/>
  <c r="C3"/>
  <c r="A4"/>
  <c r="A5" s="1"/>
  <c r="A6" s="1"/>
  <c r="A7" s="1"/>
  <c r="A8" s="1"/>
  <c r="A9" s="1"/>
  <c r="A10" s="1"/>
  <c r="A11" s="1"/>
  <c r="A12" s="1"/>
  <c r="A13" s="1"/>
  <c r="A14" s="1"/>
  <c r="C15" l="1"/>
  <c r="G15"/>
  <c r="G16" s="1"/>
  <c r="G17" s="1"/>
  <c r="B3" i="6"/>
  <c r="C3"/>
  <c r="K3"/>
  <c r="J3"/>
  <c r="I3"/>
  <c r="I5" s="1"/>
  <c r="H3"/>
  <c r="D14"/>
  <c r="D13"/>
  <c r="D12"/>
  <c r="D15"/>
  <c r="D11"/>
  <c r="D10"/>
  <c r="D9"/>
  <c r="D8"/>
  <c r="D7"/>
  <c r="D6"/>
  <c r="D5"/>
  <c r="D4"/>
  <c r="E5"/>
  <c r="F5" s="1"/>
  <c r="Q5" s="1"/>
  <c r="G5" s="1"/>
  <c r="E6"/>
  <c r="F6" s="1"/>
  <c r="Q6" s="1"/>
  <c r="E7"/>
  <c r="F7" s="1"/>
  <c r="Q7" s="1"/>
  <c r="E8"/>
  <c r="F8" s="1"/>
  <c r="Q8" s="1"/>
  <c r="G8" s="1"/>
  <c r="E9"/>
  <c r="F9" s="1"/>
  <c r="Q9" s="1"/>
  <c r="G9" s="1"/>
  <c r="E10"/>
  <c r="F10" s="1"/>
  <c r="Q10" s="1"/>
  <c r="M10" s="1"/>
  <c r="E11"/>
  <c r="F11" s="1"/>
  <c r="Q11" s="1"/>
  <c r="R11" s="1"/>
  <c r="E15"/>
  <c r="F15" s="1"/>
  <c r="E12"/>
  <c r="F12" s="1"/>
  <c r="Q12" s="1"/>
  <c r="G12" s="1"/>
  <c r="E13"/>
  <c r="F13" s="1"/>
  <c r="Q13" s="1"/>
  <c r="L13" s="1"/>
  <c r="E14"/>
  <c r="F14" s="1"/>
  <c r="Q14" s="1"/>
  <c r="L14" s="1"/>
  <c r="E4"/>
  <c r="F4" s="1"/>
  <c r="Q4" s="1"/>
  <c r="G4" s="1"/>
  <c r="C3" i="4"/>
  <c r="C4"/>
  <c r="C5"/>
  <c r="C6"/>
  <c r="C7"/>
  <c r="C8"/>
  <c r="C9"/>
  <c r="C10"/>
  <c r="C2"/>
  <c r="C6" i="3"/>
  <c r="C7"/>
  <c r="C8"/>
  <c r="C9"/>
  <c r="C10"/>
  <c r="C11"/>
  <c r="C12"/>
  <c r="C13"/>
  <c r="C14"/>
  <c r="C15"/>
  <c r="C16"/>
  <c r="C17"/>
  <c r="C18"/>
  <c r="C19"/>
  <c r="C20"/>
  <c r="C21"/>
  <c r="C5"/>
  <c r="G5"/>
  <c r="E25"/>
  <c r="D11" i="5"/>
  <c r="D12" s="1"/>
  <c r="C10"/>
  <c r="D25" i="3" s="1"/>
  <c r="D9" s="1"/>
  <c r="E3" i="5"/>
  <c r="F22" i="3"/>
  <c r="B22"/>
  <c r="C22" s="1"/>
  <c r="A3" i="1"/>
  <c r="A4" s="1"/>
  <c r="A5" s="1"/>
  <c r="A6" s="1"/>
  <c r="C16" i="8" l="1"/>
  <c r="C17" s="1"/>
  <c r="L6" i="6"/>
  <c r="R6"/>
  <c r="S10"/>
  <c r="R10"/>
  <c r="S11"/>
  <c r="M7"/>
  <c r="R7"/>
  <c r="S7"/>
  <c r="H7"/>
  <c r="S4"/>
  <c r="I14"/>
  <c r="S14"/>
  <c r="S6"/>
  <c r="R13"/>
  <c r="R9"/>
  <c r="R5"/>
  <c r="J7"/>
  <c r="S13"/>
  <c r="S9"/>
  <c r="S5"/>
  <c r="R12"/>
  <c r="R8"/>
  <c r="R14"/>
  <c r="K14"/>
  <c r="Q15"/>
  <c r="S12"/>
  <c r="S8"/>
  <c r="R4"/>
  <c r="A7" i="1"/>
  <c r="A8" s="1"/>
  <c r="A9" s="1"/>
  <c r="A10" s="1"/>
  <c r="A11" s="1"/>
  <c r="A12" s="1"/>
  <c r="L11" i="6"/>
  <c r="G11"/>
  <c r="I11"/>
  <c r="H11"/>
  <c r="K11"/>
  <c r="J11"/>
  <c r="K7"/>
  <c r="J4"/>
  <c r="H4"/>
  <c r="I4"/>
  <c r="K4"/>
  <c r="J14"/>
  <c r="H14"/>
  <c r="I7"/>
  <c r="G7"/>
  <c r="G14"/>
  <c r="J5"/>
  <c r="J9"/>
  <c r="J12"/>
  <c r="H5"/>
  <c r="H9"/>
  <c r="H12"/>
  <c r="J6"/>
  <c r="J10"/>
  <c r="J13"/>
  <c r="H6"/>
  <c r="H10"/>
  <c r="H13"/>
  <c r="I13"/>
  <c r="I10"/>
  <c r="I6"/>
  <c r="K13"/>
  <c r="K10"/>
  <c r="K6"/>
  <c r="G13"/>
  <c r="G10"/>
  <c r="G6"/>
  <c r="I12"/>
  <c r="I9"/>
  <c r="K12"/>
  <c r="K9"/>
  <c r="K5"/>
  <c r="J8"/>
  <c r="H8"/>
  <c r="I8"/>
  <c r="K8"/>
  <c r="O12"/>
  <c r="L12"/>
  <c r="M12"/>
  <c r="N12"/>
  <c r="O9"/>
  <c r="L9"/>
  <c r="M9"/>
  <c r="N9"/>
  <c r="O5"/>
  <c r="L5"/>
  <c r="M5"/>
  <c r="N5"/>
  <c r="O4"/>
  <c r="L4"/>
  <c r="M4"/>
  <c r="N4"/>
  <c r="O8"/>
  <c r="L8"/>
  <c r="M8"/>
  <c r="N8"/>
  <c r="N11"/>
  <c r="M14"/>
  <c r="L7"/>
  <c r="N6"/>
  <c r="L10"/>
  <c r="N14"/>
  <c r="N7"/>
  <c r="M11"/>
  <c r="N13"/>
  <c r="N10"/>
  <c r="M13"/>
  <c r="M6"/>
  <c r="O14"/>
  <c r="P14"/>
  <c r="O11"/>
  <c r="P11"/>
  <c r="O13"/>
  <c r="P13"/>
  <c r="O10"/>
  <c r="P10"/>
  <c r="O6"/>
  <c r="P6"/>
  <c r="O7"/>
  <c r="P7"/>
  <c r="P12"/>
  <c r="P9"/>
  <c r="P5"/>
  <c r="P8"/>
  <c r="P4"/>
  <c r="D26" i="3"/>
  <c r="E9"/>
  <c r="D20"/>
  <c r="E20" s="1"/>
  <c r="D16"/>
  <c r="E16" s="1"/>
  <c r="D12"/>
  <c r="E12" s="1"/>
  <c r="D8"/>
  <c r="E8" s="1"/>
  <c r="D5"/>
  <c r="E5" s="1"/>
  <c r="H5" s="1"/>
  <c r="I5" s="1"/>
  <c r="J5" s="1"/>
  <c r="K5" s="1"/>
  <c r="D19"/>
  <c r="E19" s="1"/>
  <c r="D15"/>
  <c r="E15" s="1"/>
  <c r="D11"/>
  <c r="E11" s="1"/>
  <c r="D7"/>
  <c r="E7" s="1"/>
  <c r="D22"/>
  <c r="E22" s="1"/>
  <c r="D18"/>
  <c r="E18" s="1"/>
  <c r="D14"/>
  <c r="E14" s="1"/>
  <c r="D10"/>
  <c r="E10" s="1"/>
  <c r="D6"/>
  <c r="E6" s="1"/>
  <c r="D21"/>
  <c r="E21" s="1"/>
  <c r="D17"/>
  <c r="E17" s="1"/>
  <c r="D13"/>
  <c r="E13" s="1"/>
  <c r="G7"/>
  <c r="G11"/>
  <c r="G15"/>
  <c r="G19"/>
  <c r="G10"/>
  <c r="G8"/>
  <c r="H8" s="1"/>
  <c r="I8" s="1"/>
  <c r="J8" s="1"/>
  <c r="K8" s="1"/>
  <c r="G12"/>
  <c r="G16"/>
  <c r="H16" s="1"/>
  <c r="I16" s="1"/>
  <c r="J16" s="1"/>
  <c r="K16" s="1"/>
  <c r="G20"/>
  <c r="G14"/>
  <c r="H14" s="1"/>
  <c r="I14" s="1"/>
  <c r="J14" s="1"/>
  <c r="K14" s="1"/>
  <c r="G22"/>
  <c r="G9"/>
  <c r="H9" s="1"/>
  <c r="I9" s="1"/>
  <c r="J9" s="1"/>
  <c r="K9" s="1"/>
  <c r="G13"/>
  <c r="G17"/>
  <c r="H17" s="1"/>
  <c r="I17" s="1"/>
  <c r="J17" s="1"/>
  <c r="K17" s="1"/>
  <c r="G21"/>
  <c r="G6"/>
  <c r="H6" s="1"/>
  <c r="I6" s="1"/>
  <c r="J6" s="1"/>
  <c r="K6" s="1"/>
  <c r="G18"/>
  <c r="H18" l="1"/>
  <c r="I18" s="1"/>
  <c r="J18" s="1"/>
  <c r="K18" s="1"/>
  <c r="P15" i="6"/>
  <c r="O15"/>
  <c r="J15"/>
  <c r="N15"/>
  <c r="K15"/>
  <c r="M15"/>
  <c r="I15"/>
  <c r="L15"/>
  <c r="G15"/>
  <c r="H15"/>
  <c r="S15"/>
  <c r="R15"/>
  <c r="H15" i="3"/>
  <c r="I15" s="1"/>
  <c r="J15" s="1"/>
  <c r="K15" s="1"/>
  <c r="H13"/>
  <c r="I13" s="1"/>
  <c r="J13" s="1"/>
  <c r="K13" s="1"/>
  <c r="H20"/>
  <c r="I20" s="1"/>
  <c r="J20" s="1"/>
  <c r="K20" s="1"/>
  <c r="H10"/>
  <c r="I10" s="1"/>
  <c r="J10" s="1"/>
  <c r="K10" s="1"/>
  <c r="H7"/>
  <c r="I7" s="1"/>
  <c r="J7" s="1"/>
  <c r="K7" s="1"/>
  <c r="H11"/>
  <c r="I11" s="1"/>
  <c r="J11" s="1"/>
  <c r="K11" s="1"/>
  <c r="H21"/>
  <c r="I21" s="1"/>
  <c r="J21" s="1"/>
  <c r="K21" s="1"/>
  <c r="H22"/>
  <c r="I22" s="1"/>
  <c r="J22" s="1"/>
  <c r="K22" s="1"/>
  <c r="H12"/>
  <c r="I12" s="1"/>
  <c r="J12" s="1"/>
  <c r="K12" s="1"/>
  <c r="H19"/>
  <c r="I19" s="1"/>
  <c r="J19" s="1"/>
  <c r="K19" s="1"/>
</calcChain>
</file>

<file path=xl/sharedStrings.xml><?xml version="1.0" encoding="utf-8"?>
<sst xmlns="http://schemas.openxmlformats.org/spreadsheetml/2006/main" count="261" uniqueCount="199">
  <si>
    <t>No of CoFounders</t>
  </si>
  <si>
    <t xml:space="preserve">Slide I </t>
  </si>
  <si>
    <t xml:space="preserve">Option I </t>
  </si>
  <si>
    <t>Option II</t>
  </si>
  <si>
    <t>Option III</t>
  </si>
  <si>
    <t xml:space="preserve">Judging Creterion </t>
  </si>
  <si>
    <t xml:space="preserve">Ideation </t>
  </si>
  <si>
    <t>Proof of Concept</t>
  </si>
  <si>
    <t>Beta Launched</t>
  </si>
  <si>
    <t>Option IV</t>
  </si>
  <si>
    <t>Option V</t>
  </si>
  <si>
    <t>Type of Business</t>
  </si>
  <si>
    <t>B2B</t>
  </si>
  <si>
    <t>B2C</t>
  </si>
  <si>
    <t xml:space="preserve">Startup Type </t>
  </si>
  <si>
    <t xml:space="preserve">Tech </t>
  </si>
  <si>
    <t>Non-Tech</t>
  </si>
  <si>
    <t xml:space="preserve">Inhouse Team </t>
  </si>
  <si>
    <t xml:space="preserve">City </t>
  </si>
  <si>
    <t>Funding Stage</t>
  </si>
  <si>
    <t>Bootstraping</t>
  </si>
  <si>
    <t>Incubated</t>
  </si>
  <si>
    <t xml:space="preserve">Angel Funded </t>
  </si>
  <si>
    <t>Weightage</t>
  </si>
  <si>
    <t>2-3 Founders Ideal Choice, 1 is bad Option (Max 5)</t>
  </si>
  <si>
    <t>Marks (100)</t>
  </si>
  <si>
    <t>Scale 1-10</t>
  </si>
  <si>
    <t>Overall Knowlwdge of the Industry</t>
  </si>
  <si>
    <t>Multiplier</t>
  </si>
  <si>
    <t>10-100%</t>
  </si>
  <si>
    <t>Part Time</t>
  </si>
  <si>
    <t xml:space="preserve">Full Time </t>
  </si>
  <si>
    <t>Part Time- 30% 
Full Time -100 %</t>
  </si>
  <si>
    <t>Cofounder Dedication (For each)</t>
  </si>
  <si>
    <t>Outsourced</t>
  </si>
  <si>
    <t>Hotness(GrowthRate) of the Industry</t>
  </si>
  <si>
    <t xml:space="preserve">College and Education </t>
  </si>
  <si>
    <t xml:space="preserve">Sno </t>
  </si>
  <si>
    <t xml:space="preserve">Ready </t>
  </si>
  <si>
    <t xml:space="preserve">Early Traction </t>
  </si>
  <si>
    <t>Growth</t>
  </si>
  <si>
    <t xml:space="preserve">StartUp Stage </t>
  </si>
  <si>
    <t xml:space="preserve">I </t>
  </si>
  <si>
    <t>&gt;5</t>
  </si>
  <si>
    <t xml:space="preserve">Slide No </t>
  </si>
  <si>
    <t>Incubator</t>
  </si>
  <si>
    <t>R-100 %
NR-30 %</t>
  </si>
  <si>
    <t xml:space="preserve">Not Found  </t>
  </si>
  <si>
    <t xml:space="preserve">Not ready </t>
  </si>
  <si>
    <t xml:space="preserve">(IfTech) Tech Team </t>
  </si>
  <si>
    <t>(If NonTech) - SetUp</t>
  </si>
  <si>
    <t>T-100%
NT-60%</t>
  </si>
  <si>
    <t>P-30%
FT- 100%</t>
  </si>
  <si>
    <t>Formula</t>
  </si>
  <si>
    <t>weightage X %age</t>
  </si>
  <si>
    <t>weightage X %age X Infra</t>
  </si>
  <si>
    <t>3- Infra</t>
  </si>
  <si>
    <t xml:space="preserve">Mobile </t>
  </si>
  <si>
    <t xml:space="preserve">Education </t>
  </si>
  <si>
    <t>HealthCare</t>
  </si>
  <si>
    <t>Enterprise</t>
  </si>
  <si>
    <t xml:space="preserve">Travel </t>
  </si>
  <si>
    <t>Social Networking</t>
  </si>
  <si>
    <t>Real Estate</t>
  </si>
  <si>
    <t xml:space="preserve">Recruiting </t>
  </si>
  <si>
    <t>Ad Tech</t>
  </si>
  <si>
    <t>Others</t>
  </si>
  <si>
    <t>E-Commerce</t>
  </si>
  <si>
    <t>Financial Services</t>
  </si>
  <si>
    <t>Gaming</t>
  </si>
  <si>
    <t>Analytics</t>
  </si>
  <si>
    <t>Hardware</t>
  </si>
  <si>
    <t>Media</t>
  </si>
  <si>
    <t>Mobile Payments</t>
  </si>
  <si>
    <t>Big Data</t>
  </si>
  <si>
    <t>City</t>
  </si>
  <si>
    <t>bangalore</t>
  </si>
  <si>
    <t>Delhi- NCR</t>
  </si>
  <si>
    <t xml:space="preserve">Mumbai </t>
  </si>
  <si>
    <t>Hyderabad</t>
  </si>
  <si>
    <t>Pune</t>
  </si>
  <si>
    <t>Chennai</t>
  </si>
  <si>
    <t>Ahmedabad</t>
  </si>
  <si>
    <t>Kochi</t>
  </si>
  <si>
    <t xml:space="preserve">Others </t>
  </si>
  <si>
    <t>Hotness (%no of Deals)</t>
  </si>
  <si>
    <t>Seed</t>
  </si>
  <si>
    <t>A</t>
  </si>
  <si>
    <t>B</t>
  </si>
  <si>
    <t>Late</t>
  </si>
  <si>
    <t>C</t>
  </si>
  <si>
    <t>Exit</t>
  </si>
  <si>
    <t>Undiscloses</t>
  </si>
  <si>
    <t>Per Startup Value</t>
  </si>
  <si>
    <t xml:space="preserve">%age </t>
  </si>
  <si>
    <t>Nos of Total Deals</t>
  </si>
  <si>
    <t>Total Deals</t>
  </si>
  <si>
    <t>Deal Value (in Mn $)</t>
  </si>
  <si>
    <t>%age value (Seed)</t>
  </si>
  <si>
    <t>Value In Crs- Seed</t>
  </si>
  <si>
    <t>Value of the Company (30% Dilution )</t>
  </si>
  <si>
    <t>Seed Funded</t>
  </si>
  <si>
    <t>Bootstrapped</t>
  </si>
  <si>
    <t>Friends &amp; Family</t>
  </si>
  <si>
    <t>No of Startups</t>
  </si>
  <si>
    <t>Hotness 
(%no of Deals)</t>
  </si>
  <si>
    <t>Data from Pervious</t>
  </si>
  <si>
    <t>No of Startup (Seed Funded)</t>
  </si>
  <si>
    <t>Total Value Raised (Mn $)</t>
  </si>
  <si>
    <t>Value Raised In Seeds (in Mn $)</t>
  </si>
  <si>
    <t>Value Raised in Seed /Startup (in Mn $)</t>
  </si>
  <si>
    <t>Check City</t>
  </si>
  <si>
    <t>B-40%
C-100%</t>
  </si>
  <si>
    <t xml:space="preserve">Multiplier </t>
  </si>
  <si>
    <t xml:space="preserve">Add 2 Crs </t>
  </si>
  <si>
    <t>Consumer Internet</t>
  </si>
  <si>
    <t>e-Commerce</t>
  </si>
  <si>
    <t>Education</t>
  </si>
  <si>
    <t>Energy</t>
  </si>
  <si>
    <t>Healthcare</t>
  </si>
  <si>
    <t>Mobile App</t>
  </si>
  <si>
    <t>Payment</t>
  </si>
  <si>
    <t>Services</t>
  </si>
  <si>
    <t>Technology</t>
  </si>
  <si>
    <t>Sector</t>
  </si>
  <si>
    <t>Investment (in Cr)</t>
  </si>
  <si>
    <t>Hotness of Industry  (Multiplier)</t>
  </si>
  <si>
    <t xml:space="preserve">Traction </t>
  </si>
  <si>
    <t xml:space="preserve">Valuation (in Cr) </t>
  </si>
  <si>
    <t xml:space="preserve">Investment/Startup (inCr)- 35% Dilution </t>
  </si>
  <si>
    <t>Refer Data for %age</t>
  </si>
  <si>
    <t>CA/CS/ICWA/CFA</t>
  </si>
  <si>
    <t>International</t>
  </si>
  <si>
    <t>IIMS/ISBs/Tier I</t>
  </si>
  <si>
    <t>AIIMS/MAMC/AMFC/Similar</t>
  </si>
  <si>
    <t>NID/NIFT/Similar</t>
  </si>
  <si>
    <t>Option VI</t>
  </si>
  <si>
    <t>Option VII</t>
  </si>
  <si>
    <t>IITS/DCE/PEC/NIT/BITS/Tier I</t>
  </si>
  <si>
    <t>Research</t>
  </si>
  <si>
    <t>Add 30 Lacs for Colleges</t>
  </si>
  <si>
    <t xml:space="preserve">30 Lacs Extra to Overall </t>
  </si>
  <si>
    <t>Option VIII</t>
  </si>
  <si>
    <t xml:space="preserve">Covered </t>
  </si>
  <si>
    <t xml:space="preserve">Refer City Sheet </t>
  </si>
  <si>
    <t>6a</t>
  </si>
  <si>
    <t>1-20%
2-75%
3-100%
4-50%
&gt;4-30%</t>
  </si>
  <si>
    <t>Answer</t>
  </si>
  <si>
    <t>2. two cofounders</t>
  </si>
  <si>
    <t>1-7 any clg (except others)</t>
  </si>
  <si>
    <t>cofounder 1) full time and cofounder 2) full time</t>
  </si>
  <si>
    <t>1.Tech</t>
  </si>
  <si>
    <t>11. Technology</t>
  </si>
  <si>
    <t>result depend on ques 7</t>
  </si>
  <si>
    <t>1. inhouse</t>
  </si>
  <si>
    <t>--</t>
  </si>
  <si>
    <t>ans not required in this example</t>
  </si>
  <si>
    <t>10. scale value 10</t>
  </si>
  <si>
    <t>weightage of ques 9 (3%)* ans value</t>
  </si>
  <si>
    <t>2. B2C</t>
  </si>
  <si>
    <t>weightage of ques 10(3%) * ans value</t>
  </si>
  <si>
    <t>3. beta launched</t>
  </si>
  <si>
    <t>result depend on ques 12</t>
  </si>
  <si>
    <t>3. Angel funded</t>
  </si>
  <si>
    <t>weightage of ques 11* value of intersection of ans 11 &amp;12</t>
  </si>
  <si>
    <t>2. Delhi/NCR</t>
  </si>
  <si>
    <t>weighatge of ques 13 * hotness of answer city from the data</t>
  </si>
  <si>
    <t>weightage of ques 1 * ans value</t>
  </si>
  <si>
    <t>weightage of ques 5 * answer value</t>
  </si>
  <si>
    <t>total percentage</t>
  </si>
  <si>
    <t xml:space="preserve">funds </t>
  </si>
  <si>
    <t>total percentage * value of answer 5 industry from data</t>
  </si>
  <si>
    <t>30 lakhs added in a refrennce of answer 2</t>
  </si>
  <si>
    <t>final funds</t>
  </si>
  <si>
    <t>Example1</t>
  </si>
  <si>
    <t>Example2</t>
  </si>
  <si>
    <t>question</t>
  </si>
  <si>
    <t>3. 3 cofounders</t>
  </si>
  <si>
    <t>8. others</t>
  </si>
  <si>
    <t>cofounder 1) full time and cofounder 2) part time</t>
  </si>
  <si>
    <t>(weightage of ques 4*(full time1 + part time2))/(no. of cofounders)</t>
  </si>
  <si>
    <t>2. consumer internet</t>
  </si>
  <si>
    <t>2.Non-Tech</t>
  </si>
  <si>
    <t>result depend on ques 8</t>
  </si>
  <si>
    <t>weightage of ques 6 * weightage of NON-Tech(60%)*weightage of ready(100*)</t>
  </si>
  <si>
    <t>1. ready</t>
  </si>
  <si>
    <t>8. scale value 8</t>
  </si>
  <si>
    <t>1. B2B</t>
  </si>
  <si>
    <t>4. Early traction</t>
  </si>
  <si>
    <t>2. seed funded</t>
  </si>
  <si>
    <t>1. Banglore</t>
  </si>
  <si>
    <t>funds</t>
  </si>
  <si>
    <r>
      <t xml:space="preserve">add </t>
    </r>
    <r>
      <rPr>
        <b/>
        <i/>
        <sz val="11"/>
        <color theme="1"/>
        <rFont val="Calibri"/>
        <family val="2"/>
        <scheme val="minor"/>
      </rPr>
      <t>30</t>
    </r>
    <r>
      <rPr>
        <b/>
        <sz val="11"/>
        <color theme="1"/>
        <rFont val="Calibri"/>
        <family val="2"/>
        <scheme val="minor"/>
      </rPr>
      <t xml:space="preserve"> lakhs in ans</t>
    </r>
  </si>
  <si>
    <r>
      <t xml:space="preserve">add </t>
    </r>
    <r>
      <rPr>
        <b/>
        <i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lakhs in ans</t>
    </r>
  </si>
  <si>
    <t>weightage of ques 6 * weightage of Tech(100%)*weightage of inhouse(100%)</t>
  </si>
  <si>
    <t>0 lakhs added in a refrennce of answer 2</t>
  </si>
  <si>
    <t>All-30 Lacs
Others - 0</t>
  </si>
  <si>
    <t>N-5%
O-70 %
I- 100 %</t>
  </si>
  <si>
    <t>(weightage of ques 4*(full/part time1 + full/part time2))/(no. of cofounders)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</si>
</sst>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0.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9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/>
    <xf numFmtId="9" fontId="0" fillId="0" borderId="3" xfId="0" applyNumberFormat="1" applyBorder="1"/>
    <xf numFmtId="0" fontId="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/>
    <xf numFmtId="166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0" fillId="9" borderId="3" xfId="0" applyFill="1" applyBorder="1"/>
    <xf numFmtId="10" fontId="0" fillId="9" borderId="3" xfId="0" applyNumberFormat="1" applyFill="1" applyBorder="1"/>
    <xf numFmtId="0" fontId="0" fillId="9" borderId="3" xfId="0" applyFill="1" applyBorder="1" applyAlignment="1">
      <alignment vertical="center" wrapText="1"/>
    </xf>
    <xf numFmtId="0" fontId="0" fillId="9" borderId="3" xfId="0" quotePrefix="1" applyFill="1" applyBorder="1"/>
    <xf numFmtId="164" fontId="0" fillId="9" borderId="3" xfId="0" applyNumberFormat="1" applyFill="1" applyBorder="1"/>
    <xf numFmtId="167" fontId="0" fillId="9" borderId="3" xfId="0" applyNumberFormat="1" applyFill="1" applyBorder="1"/>
    <xf numFmtId="2" fontId="0" fillId="9" borderId="3" xfId="0" applyNumberFormat="1" applyFill="1" applyBorder="1"/>
    <xf numFmtId="0" fontId="0" fillId="9" borderId="3" xfId="0" applyNumberFormat="1" applyFill="1" applyBorder="1"/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 applyAlignment="1">
      <alignment horizontal="center" vertical="center"/>
    </xf>
    <xf numFmtId="10" fontId="0" fillId="9" borderId="3" xfId="0" quotePrefix="1" applyNumberFormat="1" applyFill="1" applyBorder="1"/>
    <xf numFmtId="2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topLeftCell="B1" workbookViewId="0">
      <selection activeCell="C5" sqref="C5"/>
    </sheetView>
  </sheetViews>
  <sheetFormatPr defaultRowHeight="15"/>
  <cols>
    <col min="1" max="1" width="5.28515625" style="5" customWidth="1"/>
    <col min="2" max="2" width="10.5703125" style="5" customWidth="1"/>
    <col min="3" max="3" width="34.7109375" style="2" customWidth="1"/>
    <col min="4" max="4" width="12.42578125" style="3" customWidth="1"/>
    <col min="5" max="6" width="14.28515625" style="3" customWidth="1"/>
    <col min="7" max="7" width="28.140625" style="4" bestFit="1" customWidth="1"/>
    <col min="8" max="8" width="16.5703125" customWidth="1"/>
    <col min="9" max="9" width="16" bestFit="1" customWidth="1"/>
    <col min="10" max="10" width="14" bestFit="1" customWidth="1"/>
    <col min="11" max="11" width="13.7109375" bestFit="1" customWidth="1"/>
    <col min="12" max="12" width="8.85546875" bestFit="1" customWidth="1"/>
    <col min="14" max="14" width="13.5703125" customWidth="1"/>
    <col min="15" max="15" width="10.5703125" bestFit="1" customWidth="1"/>
  </cols>
  <sheetData>
    <row r="1" spans="1:15 16384:16384">
      <c r="A1" s="30" t="s">
        <v>37</v>
      </c>
      <c r="B1" s="30" t="s">
        <v>44</v>
      </c>
      <c r="C1" s="31" t="s">
        <v>1</v>
      </c>
      <c r="D1" s="32" t="s">
        <v>23</v>
      </c>
      <c r="E1" s="32" t="s">
        <v>25</v>
      </c>
      <c r="F1" s="32" t="s">
        <v>53</v>
      </c>
      <c r="G1" s="33" t="s">
        <v>5</v>
      </c>
      <c r="H1" s="34" t="s">
        <v>2</v>
      </c>
      <c r="I1" s="34" t="s">
        <v>3</v>
      </c>
      <c r="J1" s="34" t="s">
        <v>4</v>
      </c>
      <c r="K1" s="34" t="s">
        <v>9</v>
      </c>
      <c r="L1" s="34" t="s">
        <v>10</v>
      </c>
      <c r="M1" s="34" t="s">
        <v>136</v>
      </c>
      <c r="N1" s="34" t="s">
        <v>137</v>
      </c>
      <c r="O1" s="34" t="s">
        <v>142</v>
      </c>
      <c r="XFD1" s="10"/>
    </row>
    <row r="2" spans="1:15 16384:16384" ht="80.25" customHeight="1">
      <c r="A2" s="35">
        <v>1</v>
      </c>
      <c r="B2" s="35">
        <v>1</v>
      </c>
      <c r="C2" s="36" t="s">
        <v>0</v>
      </c>
      <c r="D2" s="37">
        <v>0.05</v>
      </c>
      <c r="E2" s="38" t="s">
        <v>146</v>
      </c>
      <c r="F2" s="38" t="s">
        <v>54</v>
      </c>
      <c r="G2" s="39" t="s">
        <v>24</v>
      </c>
      <c r="H2" s="40" t="s">
        <v>42</v>
      </c>
      <c r="I2" s="40">
        <v>2</v>
      </c>
      <c r="J2" s="40">
        <v>3</v>
      </c>
      <c r="K2" s="40">
        <v>4</v>
      </c>
      <c r="L2" s="40" t="s">
        <v>43</v>
      </c>
      <c r="M2" s="41"/>
      <c r="N2" s="40"/>
      <c r="O2" s="40"/>
    </row>
    <row r="3" spans="1:15 16384:16384" ht="45">
      <c r="A3" s="35">
        <f>A2+1</f>
        <v>2</v>
      </c>
      <c r="B3" s="35">
        <v>2</v>
      </c>
      <c r="C3" s="36" t="s">
        <v>36</v>
      </c>
      <c r="D3" s="37" t="s">
        <v>141</v>
      </c>
      <c r="E3" s="38" t="s">
        <v>196</v>
      </c>
      <c r="F3" s="38"/>
      <c r="G3" s="39"/>
      <c r="H3" s="39" t="s">
        <v>133</v>
      </c>
      <c r="I3" s="39" t="s">
        <v>138</v>
      </c>
      <c r="J3" s="39" t="s">
        <v>131</v>
      </c>
      <c r="K3" s="39" t="s">
        <v>134</v>
      </c>
      <c r="L3" s="39" t="s">
        <v>135</v>
      </c>
      <c r="M3" s="39" t="s">
        <v>139</v>
      </c>
      <c r="N3" s="39" t="s">
        <v>132</v>
      </c>
      <c r="O3" s="39" t="s">
        <v>66</v>
      </c>
    </row>
    <row r="4" spans="1:15 16384:16384" ht="30">
      <c r="A4" s="35" t="e">
        <f>#REF!+1</f>
        <v>#REF!</v>
      </c>
      <c r="B4" s="35">
        <v>2</v>
      </c>
      <c r="C4" s="36" t="s">
        <v>33</v>
      </c>
      <c r="D4" s="37">
        <v>0.1</v>
      </c>
      <c r="E4" s="38" t="s">
        <v>52</v>
      </c>
      <c r="F4" s="38" t="s">
        <v>54</v>
      </c>
      <c r="G4" s="39" t="s">
        <v>32</v>
      </c>
      <c r="H4" s="40" t="s">
        <v>30</v>
      </c>
      <c r="I4" s="40" t="s">
        <v>31</v>
      </c>
      <c r="J4" s="40"/>
      <c r="K4" s="40"/>
      <c r="L4" s="40"/>
      <c r="M4" s="40"/>
      <c r="N4" s="40"/>
      <c r="O4" s="40"/>
    </row>
    <row r="5" spans="1:15 16384:16384" ht="30">
      <c r="A5" s="35" t="e">
        <f t="shared" ref="A5:A12" si="0">A4+1</f>
        <v>#REF!</v>
      </c>
      <c r="B5" s="35">
        <v>2.1</v>
      </c>
      <c r="C5" s="36" t="s">
        <v>35</v>
      </c>
      <c r="D5" s="37">
        <v>0.1</v>
      </c>
      <c r="E5" s="38"/>
      <c r="F5" s="38" t="s">
        <v>54</v>
      </c>
      <c r="G5" s="66" t="s">
        <v>126</v>
      </c>
      <c r="H5" s="40"/>
      <c r="I5" s="40"/>
      <c r="J5" s="40"/>
      <c r="K5" s="40"/>
      <c r="L5" s="40"/>
      <c r="M5" s="40"/>
      <c r="N5" s="40"/>
      <c r="O5" s="40"/>
    </row>
    <row r="6" spans="1:15 16384:16384" ht="30">
      <c r="A6" s="44" t="e">
        <f t="shared" si="0"/>
        <v>#REF!</v>
      </c>
      <c r="B6" s="44">
        <v>3</v>
      </c>
      <c r="C6" s="45" t="s">
        <v>14</v>
      </c>
      <c r="D6" s="46">
        <v>0.08</v>
      </c>
      <c r="E6" s="42" t="s">
        <v>51</v>
      </c>
      <c r="F6" s="42" t="s">
        <v>55</v>
      </c>
      <c r="G6" s="47"/>
      <c r="H6" s="48" t="s">
        <v>15</v>
      </c>
      <c r="I6" s="48" t="s">
        <v>16</v>
      </c>
      <c r="J6" s="48"/>
      <c r="K6" s="48"/>
      <c r="L6" s="48"/>
      <c r="M6" s="48"/>
      <c r="N6" s="48"/>
      <c r="O6" s="48"/>
    </row>
    <row r="7" spans="1:15 16384:16384" ht="45">
      <c r="A7" s="35" t="e">
        <f t="shared" si="0"/>
        <v>#REF!</v>
      </c>
      <c r="B7" s="35" t="s">
        <v>56</v>
      </c>
      <c r="C7" s="36" t="s">
        <v>49</v>
      </c>
      <c r="D7" s="37"/>
      <c r="E7" s="43" t="s">
        <v>197</v>
      </c>
      <c r="F7" s="43" t="s">
        <v>143</v>
      </c>
      <c r="G7" s="39"/>
      <c r="H7" s="40" t="s">
        <v>17</v>
      </c>
      <c r="I7" s="40" t="s">
        <v>34</v>
      </c>
      <c r="J7" s="40" t="s">
        <v>47</v>
      </c>
      <c r="K7" s="40"/>
      <c r="L7" s="40"/>
      <c r="M7" s="40"/>
      <c r="N7" s="40"/>
      <c r="O7" s="40"/>
    </row>
    <row r="8" spans="1:15 16384:16384" ht="30">
      <c r="A8" s="35" t="e">
        <f t="shared" si="0"/>
        <v>#REF!</v>
      </c>
      <c r="B8" s="35" t="s">
        <v>56</v>
      </c>
      <c r="C8" s="36" t="s">
        <v>50</v>
      </c>
      <c r="D8" s="37"/>
      <c r="E8" s="43" t="s">
        <v>46</v>
      </c>
      <c r="F8" s="43" t="s">
        <v>143</v>
      </c>
      <c r="G8" s="39"/>
      <c r="H8" s="40" t="s">
        <v>38</v>
      </c>
      <c r="I8" s="40" t="s">
        <v>48</v>
      </c>
      <c r="J8" s="40"/>
      <c r="K8" s="40"/>
      <c r="L8" s="40"/>
      <c r="M8" s="40"/>
      <c r="N8" s="40"/>
      <c r="O8" s="40"/>
    </row>
    <row r="9" spans="1:15 16384:16384" ht="30">
      <c r="A9" s="35" t="e">
        <f t="shared" si="0"/>
        <v>#REF!</v>
      </c>
      <c r="B9" s="35">
        <v>4</v>
      </c>
      <c r="C9" s="36" t="s">
        <v>27</v>
      </c>
      <c r="D9" s="37">
        <v>0.03</v>
      </c>
      <c r="E9" s="38" t="s">
        <v>29</v>
      </c>
      <c r="F9" s="38" t="s">
        <v>54</v>
      </c>
      <c r="G9" s="39" t="s">
        <v>26</v>
      </c>
      <c r="H9" s="40"/>
      <c r="I9" s="40"/>
      <c r="J9" s="40"/>
      <c r="K9" s="40"/>
      <c r="L9" s="40"/>
      <c r="M9" s="40"/>
      <c r="N9" s="40"/>
      <c r="O9" s="40"/>
    </row>
    <row r="10" spans="1:15 16384:16384" ht="30">
      <c r="A10" s="35" t="e">
        <f t="shared" si="0"/>
        <v>#REF!</v>
      </c>
      <c r="B10" s="35">
        <v>5</v>
      </c>
      <c r="C10" s="36" t="s">
        <v>11</v>
      </c>
      <c r="D10" s="37">
        <v>0.03</v>
      </c>
      <c r="E10" s="43" t="s">
        <v>112</v>
      </c>
      <c r="F10" s="38" t="s">
        <v>54</v>
      </c>
      <c r="G10" s="39"/>
      <c r="H10" s="40" t="s">
        <v>12</v>
      </c>
      <c r="I10" s="40" t="s">
        <v>13</v>
      </c>
      <c r="J10" s="40"/>
      <c r="K10" s="40"/>
      <c r="L10" s="40"/>
      <c r="M10" s="40"/>
      <c r="N10" s="40"/>
      <c r="O10" s="40"/>
    </row>
    <row r="11" spans="1:15 16384:16384" ht="30">
      <c r="A11" s="35" t="e">
        <f t="shared" si="0"/>
        <v>#REF!</v>
      </c>
      <c r="B11" s="35">
        <v>6</v>
      </c>
      <c r="C11" s="36" t="s">
        <v>41</v>
      </c>
      <c r="D11" s="37">
        <v>0.6</v>
      </c>
      <c r="E11" s="38" t="s">
        <v>130</v>
      </c>
      <c r="F11" s="38" t="s">
        <v>54</v>
      </c>
      <c r="G11" s="39"/>
      <c r="H11" s="40" t="s">
        <v>6</v>
      </c>
      <c r="I11" s="40" t="s">
        <v>7</v>
      </c>
      <c r="J11" s="40" t="s">
        <v>8</v>
      </c>
      <c r="K11" s="40" t="s">
        <v>39</v>
      </c>
      <c r="L11" s="40" t="s">
        <v>40</v>
      </c>
      <c r="M11" s="40"/>
      <c r="N11" s="40"/>
      <c r="O11" s="40"/>
    </row>
    <row r="12" spans="1:15 16384:16384" ht="30">
      <c r="A12" s="35" t="e">
        <f t="shared" si="0"/>
        <v>#REF!</v>
      </c>
      <c r="B12" s="35" t="s">
        <v>145</v>
      </c>
      <c r="C12" s="36" t="s">
        <v>19</v>
      </c>
      <c r="D12" s="37"/>
      <c r="E12" s="38" t="s">
        <v>130</v>
      </c>
      <c r="F12" s="38" t="s">
        <v>54</v>
      </c>
      <c r="G12" s="39"/>
      <c r="H12" s="40" t="s">
        <v>20</v>
      </c>
      <c r="I12" s="40" t="s">
        <v>45</v>
      </c>
      <c r="J12" s="40" t="s">
        <v>22</v>
      </c>
      <c r="K12" s="40" t="s">
        <v>101</v>
      </c>
      <c r="L12" s="40"/>
      <c r="M12" s="40"/>
      <c r="N12" s="40"/>
      <c r="O12" s="40"/>
    </row>
    <row r="13" spans="1:15 16384:16384" ht="30">
      <c r="A13" s="35">
        <v>13</v>
      </c>
      <c r="B13" s="35">
        <v>7</v>
      </c>
      <c r="C13" s="36" t="s">
        <v>18</v>
      </c>
      <c r="D13" s="37">
        <v>0.01</v>
      </c>
      <c r="E13" s="38" t="s">
        <v>111</v>
      </c>
      <c r="F13" s="38" t="s">
        <v>54</v>
      </c>
      <c r="G13" s="39" t="s">
        <v>144</v>
      </c>
      <c r="H13" s="40" t="s">
        <v>76</v>
      </c>
      <c r="I13" s="40" t="s">
        <v>77</v>
      </c>
      <c r="J13" s="40" t="s">
        <v>78</v>
      </c>
      <c r="K13" s="40" t="s">
        <v>79</v>
      </c>
      <c r="L13" s="40" t="s">
        <v>80</v>
      </c>
      <c r="M13" s="40" t="s">
        <v>81</v>
      </c>
      <c r="N13" s="40" t="s">
        <v>82</v>
      </c>
      <c r="O13" s="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zoomScale="80" zoomScaleNormal="80" workbookViewId="0">
      <selection activeCell="U1" sqref="U1"/>
    </sheetView>
  </sheetViews>
  <sheetFormatPr defaultRowHeight="15"/>
  <cols>
    <col min="1" max="1" width="18" style="5" bestFit="1" customWidth="1"/>
    <col min="2" max="2" width="17.28515625" style="5" bestFit="1" customWidth="1"/>
    <col min="3" max="3" width="13.7109375" style="5" bestFit="1" customWidth="1"/>
    <col min="4" max="4" width="18.85546875" style="5" customWidth="1"/>
    <col min="5" max="5" width="18.7109375" style="5" bestFit="1" customWidth="1"/>
    <col min="6" max="6" width="15.5703125" style="5" bestFit="1" customWidth="1"/>
    <col min="7" max="8" width="13.140625" style="5" bestFit="1" customWidth="1"/>
    <col min="9" max="9" width="10.5703125" style="5" bestFit="1" customWidth="1"/>
    <col min="10" max="10" width="10.42578125" style="5" customWidth="1"/>
    <col min="11" max="11" width="9.140625" style="5"/>
    <col min="12" max="12" width="13.140625" style="5" bestFit="1" customWidth="1"/>
    <col min="13" max="13" width="11" style="5" customWidth="1"/>
    <col min="14" max="14" width="13" style="5" customWidth="1"/>
    <col min="15" max="16384" width="9.140625" style="5"/>
  </cols>
  <sheetData>
    <row r="1" spans="1:21">
      <c r="G1" s="9" t="s">
        <v>6</v>
      </c>
      <c r="H1" s="69" t="s">
        <v>7</v>
      </c>
      <c r="I1" s="69"/>
      <c r="J1" s="69"/>
      <c r="K1" s="69"/>
      <c r="L1" s="70" t="s">
        <v>8</v>
      </c>
      <c r="M1" s="70"/>
      <c r="N1" s="70"/>
      <c r="O1" s="70"/>
      <c r="P1" s="67" t="s">
        <v>127</v>
      </c>
      <c r="Q1" s="67"/>
      <c r="R1" s="68" t="s">
        <v>40</v>
      </c>
      <c r="S1" s="68"/>
    </row>
    <row r="2" spans="1:21" s="3" customFormat="1" ht="30">
      <c r="A2" s="3" t="s">
        <v>124</v>
      </c>
      <c r="B2" s="3" t="s">
        <v>125</v>
      </c>
      <c r="C2" s="3" t="s">
        <v>104</v>
      </c>
      <c r="D2" s="66" t="s">
        <v>126</v>
      </c>
      <c r="E2" s="3" t="s">
        <v>129</v>
      </c>
      <c r="F2" s="3" t="s">
        <v>128</v>
      </c>
      <c r="G2" s="8" t="s">
        <v>102</v>
      </c>
      <c r="H2" s="8" t="s">
        <v>102</v>
      </c>
      <c r="I2" s="8" t="s">
        <v>103</v>
      </c>
      <c r="J2" s="8" t="s">
        <v>21</v>
      </c>
      <c r="K2" s="8" t="s">
        <v>22</v>
      </c>
      <c r="L2" s="8" t="s">
        <v>102</v>
      </c>
      <c r="M2" s="8" t="s">
        <v>103</v>
      </c>
      <c r="N2" s="8" t="s">
        <v>21</v>
      </c>
      <c r="O2" s="8" t="s">
        <v>22</v>
      </c>
      <c r="P2" s="8" t="s">
        <v>22</v>
      </c>
      <c r="Q2" s="8" t="s">
        <v>101</v>
      </c>
      <c r="R2" s="8" t="s">
        <v>22</v>
      </c>
      <c r="S2" s="8" t="s">
        <v>101</v>
      </c>
    </row>
    <row r="3" spans="1:21" s="3" customFormat="1">
      <c r="B3" s="3">
        <f>SUM(B4:B14)</f>
        <v>780.71399999999994</v>
      </c>
      <c r="C3" s="3">
        <f>SUM(C4:C14)</f>
        <v>105</v>
      </c>
      <c r="G3" s="26">
        <v>0.1</v>
      </c>
      <c r="H3" s="26">
        <f>L3-5%</f>
        <v>0.15000000000000002</v>
      </c>
      <c r="I3" s="26">
        <f t="shared" ref="I3:K3" si="0">M3-5%</f>
        <v>0.2</v>
      </c>
      <c r="J3" s="26">
        <f t="shared" si="0"/>
        <v>0.35000000000000003</v>
      </c>
      <c r="K3" s="26">
        <f t="shared" si="0"/>
        <v>0.45</v>
      </c>
      <c r="L3" s="15">
        <v>0.2</v>
      </c>
      <c r="M3" s="15">
        <v>0.25</v>
      </c>
      <c r="N3" s="15">
        <v>0.4</v>
      </c>
      <c r="O3" s="15">
        <v>0.5</v>
      </c>
      <c r="P3" s="15">
        <v>0.7</v>
      </c>
      <c r="Q3" s="15">
        <v>1</v>
      </c>
      <c r="R3" s="15">
        <v>1.4</v>
      </c>
      <c r="S3" s="15">
        <v>2</v>
      </c>
    </row>
    <row r="4" spans="1:21">
      <c r="A4" s="5" t="s">
        <v>70</v>
      </c>
      <c r="B4" s="17">
        <v>17.13</v>
      </c>
      <c r="C4" s="28">
        <v>4</v>
      </c>
      <c r="D4" s="18">
        <f>C4/$C$5%</f>
        <v>15.384615384615383</v>
      </c>
      <c r="E4" s="18">
        <f t="shared" ref="E4:E15" si="1">B4/C4</f>
        <v>4.2824999999999998</v>
      </c>
      <c r="F4" s="18">
        <f>E4*100/35</f>
        <v>12.235714285714286</v>
      </c>
      <c r="G4" s="64">
        <f>$G$3*$Q4</f>
        <v>1.2235714285714288</v>
      </c>
      <c r="H4" s="64">
        <f>$H$3*$Q4</f>
        <v>1.8353571428571431</v>
      </c>
      <c r="I4" s="64">
        <f t="shared" ref="I4:I14" si="2">$I$3*$Q4</f>
        <v>2.4471428571428575</v>
      </c>
      <c r="J4" s="64">
        <f>$J$3*$Q4</f>
        <v>4.2825000000000006</v>
      </c>
      <c r="K4" s="64">
        <f>$K$3*$Q4</f>
        <v>5.5060714285714285</v>
      </c>
      <c r="L4" s="64">
        <f t="shared" ref="L4:L14" si="3">Q4*$L$3</f>
        <v>2.4471428571428575</v>
      </c>
      <c r="M4" s="65">
        <f t="shared" ref="M4:M14" si="4">Q4*$M$3</f>
        <v>3.0589285714285714</v>
      </c>
      <c r="N4" s="65">
        <f t="shared" ref="N4:N14" si="5">Q4*$N$3</f>
        <v>4.894285714285715</v>
      </c>
      <c r="O4" s="65">
        <f>Q4*50%</f>
        <v>6.1178571428571429</v>
      </c>
      <c r="P4" s="65">
        <f t="shared" ref="P4:P14" si="6">Q4*$P$3</f>
        <v>8.5649999999999995</v>
      </c>
      <c r="Q4" s="49">
        <f>F4</f>
        <v>12.235714285714286</v>
      </c>
      <c r="R4" s="65">
        <f>Q4*$R$3</f>
        <v>17.13</v>
      </c>
      <c r="S4" s="65">
        <f>Q4*$S$3</f>
        <v>24.471428571428572</v>
      </c>
      <c r="U4" s="5">
        <v>12.235714285714286</v>
      </c>
    </row>
    <row r="5" spans="1:21">
      <c r="A5" s="5" t="s">
        <v>115</v>
      </c>
      <c r="B5" s="17">
        <v>134.34000000000003</v>
      </c>
      <c r="C5" s="29">
        <v>26</v>
      </c>
      <c r="D5" s="18">
        <f t="shared" ref="D5:D14" si="7">C5/$C$5%</f>
        <v>100</v>
      </c>
      <c r="E5" s="18">
        <f t="shared" si="1"/>
        <v>5.1669230769230783</v>
      </c>
      <c r="F5" s="18">
        <f t="shared" ref="F5:F14" si="8">E5*100/35</f>
        <v>14.762637362637367</v>
      </c>
      <c r="G5" s="64">
        <f t="shared" ref="G5:G14" si="9">$G$3*$Q5</f>
        <v>1.4762637362637367</v>
      </c>
      <c r="H5" s="64">
        <f t="shared" ref="H5:H13" si="10">$H$3*$Q5</f>
        <v>2.2143956043956052</v>
      </c>
      <c r="I5" s="64">
        <f t="shared" si="2"/>
        <v>2.9525274725274735</v>
      </c>
      <c r="J5" s="64">
        <f t="shared" ref="J5:J14" si="11">$J$3*$Q5</f>
        <v>5.1669230769230792</v>
      </c>
      <c r="K5" s="64">
        <f t="shared" ref="K5:K14" si="12">$K$3*$Q5</f>
        <v>6.6431868131868157</v>
      </c>
      <c r="L5" s="64">
        <f t="shared" si="3"/>
        <v>2.9525274725274735</v>
      </c>
      <c r="M5" s="65">
        <f t="shared" si="4"/>
        <v>3.6906593406593418</v>
      </c>
      <c r="N5" s="65">
        <f t="shared" si="5"/>
        <v>5.905054945054947</v>
      </c>
      <c r="O5" s="65">
        <f t="shared" ref="O5:O14" si="13">Q5*50%</f>
        <v>7.3813186813186835</v>
      </c>
      <c r="P5" s="65">
        <f t="shared" si="6"/>
        <v>10.333846153846157</v>
      </c>
      <c r="Q5" s="49">
        <f t="shared" ref="Q5:Q14" si="14">F5</f>
        <v>14.762637362637367</v>
      </c>
      <c r="R5" s="65">
        <f t="shared" ref="R5:R14" si="15">Q5*$R$3</f>
        <v>20.667692307692313</v>
      </c>
      <c r="S5" s="65">
        <f t="shared" ref="S5:S14" si="16">Q5*$S$3</f>
        <v>29.525274725274734</v>
      </c>
      <c r="U5" s="5">
        <v>14.762637362637367</v>
      </c>
    </row>
    <row r="6" spans="1:21">
      <c r="A6" s="5" t="s">
        <v>116</v>
      </c>
      <c r="B6" s="17">
        <v>71.459999999999994</v>
      </c>
      <c r="C6" s="29">
        <v>13</v>
      </c>
      <c r="D6" s="18">
        <f t="shared" si="7"/>
        <v>50</v>
      </c>
      <c r="E6" s="18">
        <f t="shared" si="1"/>
        <v>5.4969230769230766</v>
      </c>
      <c r="F6" s="18">
        <f t="shared" si="8"/>
        <v>15.705494505494503</v>
      </c>
      <c r="G6" s="64">
        <f t="shared" si="9"/>
        <v>1.5705494505494504</v>
      </c>
      <c r="H6" s="64">
        <f t="shared" si="10"/>
        <v>2.3558241758241758</v>
      </c>
      <c r="I6" s="64">
        <f t="shared" si="2"/>
        <v>3.1410989010989008</v>
      </c>
      <c r="J6" s="64">
        <f t="shared" si="11"/>
        <v>5.4969230769230766</v>
      </c>
      <c r="K6" s="64">
        <f t="shared" si="12"/>
        <v>7.0674725274725265</v>
      </c>
      <c r="L6" s="64">
        <f t="shared" si="3"/>
        <v>3.1410989010989008</v>
      </c>
      <c r="M6" s="65">
        <f t="shared" si="4"/>
        <v>3.9263736263736257</v>
      </c>
      <c r="N6" s="65">
        <f t="shared" si="5"/>
        <v>6.2821978021978016</v>
      </c>
      <c r="O6" s="65">
        <f t="shared" si="13"/>
        <v>7.8527472527472515</v>
      </c>
      <c r="P6" s="65">
        <f t="shared" si="6"/>
        <v>10.993846153846151</v>
      </c>
      <c r="Q6" s="49">
        <f t="shared" si="14"/>
        <v>15.705494505494503</v>
      </c>
      <c r="R6" s="65">
        <f t="shared" si="15"/>
        <v>21.987692307692303</v>
      </c>
      <c r="S6" s="65">
        <f t="shared" si="16"/>
        <v>31.410989010989006</v>
      </c>
      <c r="U6" s="5">
        <v>15.705494505494503</v>
      </c>
    </row>
    <row r="7" spans="1:21">
      <c r="A7" s="5" t="s">
        <v>117</v>
      </c>
      <c r="B7" s="17">
        <v>100.19999999999999</v>
      </c>
      <c r="C7" s="29">
        <v>11</v>
      </c>
      <c r="D7" s="18">
        <f t="shared" si="7"/>
        <v>42.307692307692307</v>
      </c>
      <c r="E7" s="18">
        <f t="shared" si="1"/>
        <v>9.1090909090909076</v>
      </c>
      <c r="F7" s="18">
        <f t="shared" si="8"/>
        <v>26.025974025974023</v>
      </c>
      <c r="G7" s="64">
        <f t="shared" si="9"/>
        <v>2.6025974025974024</v>
      </c>
      <c r="H7" s="64">
        <f t="shared" si="10"/>
        <v>3.9038961038961042</v>
      </c>
      <c r="I7" s="64">
        <f t="shared" si="2"/>
        <v>5.2051948051948047</v>
      </c>
      <c r="J7" s="64">
        <f t="shared" si="11"/>
        <v>9.1090909090909093</v>
      </c>
      <c r="K7" s="64">
        <f t="shared" si="12"/>
        <v>11.711688311688311</v>
      </c>
      <c r="L7" s="64">
        <f t="shared" si="3"/>
        <v>5.2051948051948047</v>
      </c>
      <c r="M7" s="65">
        <f t="shared" si="4"/>
        <v>6.5064935064935057</v>
      </c>
      <c r="N7" s="65">
        <f t="shared" si="5"/>
        <v>10.410389610389609</v>
      </c>
      <c r="O7" s="65">
        <f t="shared" si="13"/>
        <v>13.012987012987011</v>
      </c>
      <c r="P7" s="65">
        <f t="shared" si="6"/>
        <v>18.218181818181815</v>
      </c>
      <c r="Q7" s="49">
        <f t="shared" si="14"/>
        <v>26.025974025974023</v>
      </c>
      <c r="R7" s="65">
        <f t="shared" si="15"/>
        <v>36.43636363636363</v>
      </c>
      <c r="S7" s="65">
        <f t="shared" si="16"/>
        <v>52.051948051948045</v>
      </c>
      <c r="U7" s="5">
        <v>26.025974025974023</v>
      </c>
    </row>
    <row r="8" spans="1:21">
      <c r="A8" s="5" t="s">
        <v>118</v>
      </c>
      <c r="B8" s="17">
        <v>1.8</v>
      </c>
      <c r="C8" s="29">
        <v>1</v>
      </c>
      <c r="D8" s="18">
        <f t="shared" si="7"/>
        <v>3.8461538461538458</v>
      </c>
      <c r="E8" s="18">
        <f t="shared" si="1"/>
        <v>1.8</v>
      </c>
      <c r="F8" s="18">
        <f t="shared" si="8"/>
        <v>5.1428571428571432</v>
      </c>
      <c r="G8" s="64">
        <f t="shared" si="9"/>
        <v>0.51428571428571435</v>
      </c>
      <c r="H8" s="64">
        <f t="shared" si="10"/>
        <v>0.77142857142857157</v>
      </c>
      <c r="I8" s="64">
        <f t="shared" si="2"/>
        <v>1.0285714285714287</v>
      </c>
      <c r="J8" s="64">
        <f t="shared" si="11"/>
        <v>1.8000000000000003</v>
      </c>
      <c r="K8" s="64">
        <f t="shared" si="12"/>
        <v>2.3142857142857145</v>
      </c>
      <c r="L8" s="64">
        <f t="shared" si="3"/>
        <v>1.0285714285714287</v>
      </c>
      <c r="M8" s="65">
        <f t="shared" si="4"/>
        <v>1.2857142857142858</v>
      </c>
      <c r="N8" s="65">
        <f t="shared" si="5"/>
        <v>2.0571428571428574</v>
      </c>
      <c r="O8" s="65">
        <f t="shared" si="13"/>
        <v>2.5714285714285716</v>
      </c>
      <c r="P8" s="65">
        <f t="shared" si="6"/>
        <v>3.6</v>
      </c>
      <c r="Q8" s="49">
        <f t="shared" si="14"/>
        <v>5.1428571428571432</v>
      </c>
      <c r="R8" s="65">
        <f t="shared" si="15"/>
        <v>7.2</v>
      </c>
      <c r="S8" s="65">
        <f t="shared" si="16"/>
        <v>10.285714285714286</v>
      </c>
      <c r="U8" s="5">
        <v>5.1428571428571432</v>
      </c>
    </row>
    <row r="9" spans="1:21">
      <c r="A9" s="5" t="s">
        <v>71</v>
      </c>
      <c r="B9" s="17">
        <v>6.3959999999999999</v>
      </c>
      <c r="C9" s="29">
        <v>3</v>
      </c>
      <c r="D9" s="18">
        <f t="shared" si="7"/>
        <v>11.538461538461538</v>
      </c>
      <c r="E9" s="18">
        <f t="shared" si="1"/>
        <v>2.1320000000000001</v>
      </c>
      <c r="F9" s="18">
        <f t="shared" si="8"/>
        <v>6.0914285714285716</v>
      </c>
      <c r="G9" s="64">
        <f t="shared" si="9"/>
        <v>0.60914285714285721</v>
      </c>
      <c r="H9" s="64">
        <f t="shared" si="10"/>
        <v>0.91371428571428592</v>
      </c>
      <c r="I9" s="64">
        <f t="shared" si="2"/>
        <v>1.2182857142857144</v>
      </c>
      <c r="J9" s="64">
        <f t="shared" si="11"/>
        <v>2.1320000000000001</v>
      </c>
      <c r="K9" s="64">
        <f t="shared" si="12"/>
        <v>2.7411428571428571</v>
      </c>
      <c r="L9" s="64">
        <f t="shared" si="3"/>
        <v>1.2182857142857144</v>
      </c>
      <c r="M9" s="65">
        <f t="shared" si="4"/>
        <v>1.5228571428571429</v>
      </c>
      <c r="N9" s="65">
        <f t="shared" si="5"/>
        <v>2.4365714285714288</v>
      </c>
      <c r="O9" s="65">
        <f t="shared" si="13"/>
        <v>3.0457142857142858</v>
      </c>
      <c r="P9" s="65">
        <f t="shared" si="6"/>
        <v>4.2640000000000002</v>
      </c>
      <c r="Q9" s="49">
        <f t="shared" si="14"/>
        <v>6.0914285714285716</v>
      </c>
      <c r="R9" s="65">
        <f t="shared" si="15"/>
        <v>8.5280000000000005</v>
      </c>
      <c r="S9" s="65">
        <f t="shared" si="16"/>
        <v>12.182857142857143</v>
      </c>
      <c r="U9" s="5">
        <v>6.0914285714285716</v>
      </c>
    </row>
    <row r="10" spans="1:21">
      <c r="A10" s="5" t="s">
        <v>119</v>
      </c>
      <c r="B10" s="17">
        <v>46.938000000000002</v>
      </c>
      <c r="C10" s="29">
        <v>9</v>
      </c>
      <c r="D10" s="18">
        <f t="shared" si="7"/>
        <v>34.615384615384613</v>
      </c>
      <c r="E10" s="18">
        <f t="shared" si="1"/>
        <v>5.2153333333333336</v>
      </c>
      <c r="F10" s="18">
        <f t="shared" si="8"/>
        <v>14.900952380952381</v>
      </c>
      <c r="G10" s="64">
        <f t="shared" si="9"/>
        <v>1.4900952380952381</v>
      </c>
      <c r="H10" s="64">
        <f t="shared" si="10"/>
        <v>2.2351428571428573</v>
      </c>
      <c r="I10" s="64">
        <f t="shared" si="2"/>
        <v>2.9801904761904763</v>
      </c>
      <c r="J10" s="64">
        <f t="shared" si="11"/>
        <v>5.2153333333333336</v>
      </c>
      <c r="K10" s="64">
        <f t="shared" si="12"/>
        <v>6.7054285714285715</v>
      </c>
      <c r="L10" s="64">
        <f t="shared" si="3"/>
        <v>2.9801904761904763</v>
      </c>
      <c r="M10" s="65">
        <f t="shared" si="4"/>
        <v>3.7252380952380952</v>
      </c>
      <c r="N10" s="65">
        <f t="shared" si="5"/>
        <v>5.9603809523809526</v>
      </c>
      <c r="O10" s="65">
        <f t="shared" si="13"/>
        <v>7.4504761904761905</v>
      </c>
      <c r="P10" s="65">
        <f t="shared" si="6"/>
        <v>10.430666666666665</v>
      </c>
      <c r="Q10" s="49">
        <f t="shared" si="14"/>
        <v>14.900952380952381</v>
      </c>
      <c r="R10" s="65">
        <f t="shared" si="15"/>
        <v>20.861333333333331</v>
      </c>
      <c r="S10" s="65">
        <f t="shared" si="16"/>
        <v>29.801904761904762</v>
      </c>
      <c r="U10" s="5">
        <v>14.900952380952381</v>
      </c>
    </row>
    <row r="11" spans="1:21">
      <c r="A11" s="5" t="s">
        <v>120</v>
      </c>
      <c r="B11" s="17">
        <v>45.99</v>
      </c>
      <c r="C11" s="29">
        <v>12</v>
      </c>
      <c r="D11" s="18">
        <f t="shared" si="7"/>
        <v>46.153846153846153</v>
      </c>
      <c r="E11" s="18">
        <f t="shared" si="1"/>
        <v>3.8325</v>
      </c>
      <c r="F11" s="18">
        <f t="shared" si="8"/>
        <v>10.95</v>
      </c>
      <c r="G11" s="64">
        <f t="shared" si="9"/>
        <v>1.095</v>
      </c>
      <c r="H11" s="64">
        <f t="shared" si="10"/>
        <v>1.6425000000000001</v>
      </c>
      <c r="I11" s="64">
        <f t="shared" si="2"/>
        <v>2.19</v>
      </c>
      <c r="J11" s="64">
        <f t="shared" si="11"/>
        <v>3.8325</v>
      </c>
      <c r="K11" s="64">
        <f t="shared" si="12"/>
        <v>4.9275000000000002</v>
      </c>
      <c r="L11" s="64">
        <f t="shared" si="3"/>
        <v>2.19</v>
      </c>
      <c r="M11" s="65">
        <f t="shared" si="4"/>
        <v>2.7374999999999998</v>
      </c>
      <c r="N11" s="65">
        <f t="shared" si="5"/>
        <v>4.38</v>
      </c>
      <c r="O11" s="65">
        <f t="shared" si="13"/>
        <v>5.4749999999999996</v>
      </c>
      <c r="P11" s="65">
        <f t="shared" si="6"/>
        <v>7.6649999999999991</v>
      </c>
      <c r="Q11" s="49">
        <f t="shared" si="14"/>
        <v>10.95</v>
      </c>
      <c r="R11" s="65">
        <f t="shared" si="15"/>
        <v>15.329999999999998</v>
      </c>
      <c r="S11" s="65">
        <f t="shared" si="16"/>
        <v>21.9</v>
      </c>
      <c r="U11" s="5">
        <v>10.95</v>
      </c>
    </row>
    <row r="12" spans="1:21">
      <c r="A12" s="5" t="s">
        <v>121</v>
      </c>
      <c r="B12" s="17">
        <v>16.2</v>
      </c>
      <c r="C12" s="29">
        <v>2</v>
      </c>
      <c r="D12" s="18">
        <f t="shared" si="7"/>
        <v>7.6923076923076916</v>
      </c>
      <c r="E12" s="18">
        <f t="shared" si="1"/>
        <v>8.1</v>
      </c>
      <c r="F12" s="18">
        <f t="shared" si="8"/>
        <v>23.142857142857142</v>
      </c>
      <c r="G12" s="64">
        <f t="shared" si="9"/>
        <v>2.3142857142857145</v>
      </c>
      <c r="H12" s="64">
        <f t="shared" si="10"/>
        <v>3.471428571428572</v>
      </c>
      <c r="I12" s="64">
        <f t="shared" si="2"/>
        <v>4.628571428571429</v>
      </c>
      <c r="J12" s="64">
        <f t="shared" si="11"/>
        <v>8.1000000000000014</v>
      </c>
      <c r="K12" s="64">
        <f t="shared" si="12"/>
        <v>10.414285714285715</v>
      </c>
      <c r="L12" s="64">
        <f t="shared" si="3"/>
        <v>4.628571428571429</v>
      </c>
      <c r="M12" s="65">
        <f t="shared" si="4"/>
        <v>5.7857142857142856</v>
      </c>
      <c r="N12" s="65">
        <f t="shared" si="5"/>
        <v>9.257142857142858</v>
      </c>
      <c r="O12" s="65">
        <f t="shared" si="13"/>
        <v>11.571428571428571</v>
      </c>
      <c r="P12" s="65">
        <f t="shared" si="6"/>
        <v>16.2</v>
      </c>
      <c r="Q12" s="49">
        <f t="shared" si="14"/>
        <v>23.142857142857142</v>
      </c>
      <c r="R12" s="65">
        <f t="shared" si="15"/>
        <v>32.4</v>
      </c>
      <c r="S12" s="65">
        <f t="shared" si="16"/>
        <v>46.285714285714285</v>
      </c>
      <c r="U12" s="5">
        <v>23.142857142857142</v>
      </c>
    </row>
    <row r="13" spans="1:21">
      <c r="A13" s="5" t="s">
        <v>122</v>
      </c>
      <c r="B13" s="17">
        <v>218.1</v>
      </c>
      <c r="C13" s="29">
        <v>14</v>
      </c>
      <c r="D13" s="18">
        <f t="shared" si="7"/>
        <v>53.846153846153847</v>
      </c>
      <c r="E13" s="18">
        <f t="shared" si="1"/>
        <v>15.578571428571427</v>
      </c>
      <c r="F13" s="18">
        <f t="shared" si="8"/>
        <v>44.510204081632651</v>
      </c>
      <c r="G13" s="64">
        <f t="shared" si="9"/>
        <v>4.4510204081632656</v>
      </c>
      <c r="H13" s="64">
        <f t="shared" si="10"/>
        <v>6.6765306122448989</v>
      </c>
      <c r="I13" s="64">
        <f t="shared" si="2"/>
        <v>8.9020408163265312</v>
      </c>
      <c r="J13" s="64">
        <f t="shared" si="11"/>
        <v>15.578571428571429</v>
      </c>
      <c r="K13" s="64">
        <f t="shared" si="12"/>
        <v>20.029591836734692</v>
      </c>
      <c r="L13" s="64">
        <f t="shared" si="3"/>
        <v>8.9020408163265312</v>
      </c>
      <c r="M13" s="65">
        <f t="shared" si="4"/>
        <v>11.127551020408163</v>
      </c>
      <c r="N13" s="65">
        <f t="shared" si="5"/>
        <v>17.804081632653062</v>
      </c>
      <c r="O13" s="65">
        <f t="shared" si="13"/>
        <v>22.255102040816325</v>
      </c>
      <c r="P13" s="65">
        <f t="shared" si="6"/>
        <v>31.157142857142855</v>
      </c>
      <c r="Q13" s="49">
        <f t="shared" si="14"/>
        <v>44.510204081632651</v>
      </c>
      <c r="R13" s="65">
        <f t="shared" si="15"/>
        <v>62.31428571428571</v>
      </c>
      <c r="S13" s="65">
        <f t="shared" si="16"/>
        <v>89.020408163265301</v>
      </c>
      <c r="U13" s="5">
        <v>44.510204081632651</v>
      </c>
    </row>
    <row r="14" spans="1:21">
      <c r="A14" s="5" t="s">
        <v>123</v>
      </c>
      <c r="B14" s="17">
        <v>122.16000000000001</v>
      </c>
      <c r="C14" s="29">
        <v>10</v>
      </c>
      <c r="D14" s="18">
        <f t="shared" si="7"/>
        <v>38.46153846153846</v>
      </c>
      <c r="E14" s="18">
        <f t="shared" si="1"/>
        <v>12.216000000000001</v>
      </c>
      <c r="F14" s="18">
        <f t="shared" si="8"/>
        <v>34.902857142857144</v>
      </c>
      <c r="G14" s="64">
        <f t="shared" si="9"/>
        <v>3.4902857142857147</v>
      </c>
      <c r="H14" s="64">
        <f>$H$3*$Q14</f>
        <v>5.2354285714285727</v>
      </c>
      <c r="I14" s="64">
        <f t="shared" si="2"/>
        <v>6.9805714285714293</v>
      </c>
      <c r="J14" s="64">
        <f t="shared" si="11"/>
        <v>12.216000000000001</v>
      </c>
      <c r="K14" s="64">
        <f t="shared" si="12"/>
        <v>15.706285714285714</v>
      </c>
      <c r="L14" s="64">
        <f t="shared" si="3"/>
        <v>6.9805714285714293</v>
      </c>
      <c r="M14" s="65">
        <f t="shared" si="4"/>
        <v>8.725714285714286</v>
      </c>
      <c r="N14" s="65">
        <f t="shared" si="5"/>
        <v>13.961142857142859</v>
      </c>
      <c r="O14" s="65">
        <f t="shared" si="13"/>
        <v>17.451428571428572</v>
      </c>
      <c r="P14" s="65">
        <f t="shared" si="6"/>
        <v>24.431999999999999</v>
      </c>
      <c r="Q14" s="49">
        <f t="shared" si="14"/>
        <v>34.902857142857144</v>
      </c>
      <c r="R14" s="65">
        <f t="shared" si="15"/>
        <v>48.863999999999997</v>
      </c>
      <c r="S14" s="65">
        <f t="shared" si="16"/>
        <v>69.805714285714288</v>
      </c>
      <c r="U14" s="5">
        <v>34.902857142857144</v>
      </c>
    </row>
    <row r="15" spans="1:21">
      <c r="A15" s="5" t="s">
        <v>66</v>
      </c>
      <c r="B15" s="17">
        <v>174.3</v>
      </c>
      <c r="C15" s="29">
        <v>8</v>
      </c>
      <c r="D15" s="18">
        <f>C15/$C$5%</f>
        <v>30.769230769230766</v>
      </c>
      <c r="E15" s="18">
        <f t="shared" si="1"/>
        <v>21.787500000000001</v>
      </c>
      <c r="F15" s="18">
        <f>E15*100/35</f>
        <v>62.25</v>
      </c>
      <c r="G15" s="64">
        <f>AVERAGE(G4:G14)</f>
        <v>1.8942816058400476</v>
      </c>
      <c r="H15" s="64">
        <f t="shared" ref="H15:S15" si="17">AVERAGE(H4:H14)</f>
        <v>2.8414224087600717</v>
      </c>
      <c r="I15" s="64">
        <f t="shared" si="17"/>
        <v>3.7885632116800951</v>
      </c>
      <c r="J15" s="64">
        <f t="shared" si="17"/>
        <v>6.6299856204401673</v>
      </c>
      <c r="K15" s="64">
        <f t="shared" si="17"/>
        <v>8.5242672262802142</v>
      </c>
      <c r="L15" s="64">
        <f t="shared" si="17"/>
        <v>3.7885632116800951</v>
      </c>
      <c r="M15" s="64">
        <f t="shared" si="17"/>
        <v>4.7357040146001177</v>
      </c>
      <c r="N15" s="64">
        <f t="shared" si="17"/>
        <v>7.5771264233601903</v>
      </c>
      <c r="O15" s="64">
        <f t="shared" si="17"/>
        <v>9.4714080292002354</v>
      </c>
      <c r="P15" s="64">
        <f t="shared" si="17"/>
        <v>13.259971240880331</v>
      </c>
      <c r="Q15" s="50">
        <f t="shared" si="17"/>
        <v>18.942816058400471</v>
      </c>
      <c r="R15" s="64">
        <f t="shared" si="17"/>
        <v>26.519942481760662</v>
      </c>
      <c r="S15" s="64">
        <f t="shared" si="17"/>
        <v>37.885632116800942</v>
      </c>
      <c r="U15" s="5">
        <v>18.942816058400471</v>
      </c>
    </row>
    <row r="17" spans="6:19" ht="30">
      <c r="F17" s="3" t="s">
        <v>140</v>
      </c>
      <c r="G17" s="5">
        <v>0.3</v>
      </c>
      <c r="H17" s="5">
        <v>0.3</v>
      </c>
      <c r="I17" s="5">
        <v>0.3</v>
      </c>
      <c r="J17" s="5">
        <v>0.3</v>
      </c>
      <c r="K17" s="5">
        <v>0.3</v>
      </c>
      <c r="L17" s="5">
        <v>0.3</v>
      </c>
      <c r="M17" s="5">
        <v>0.3</v>
      </c>
      <c r="N17" s="5">
        <v>0.3</v>
      </c>
      <c r="O17" s="5">
        <v>0.3</v>
      </c>
      <c r="P17" s="5">
        <v>0.3</v>
      </c>
      <c r="Q17" s="5">
        <v>0.3</v>
      </c>
      <c r="R17" s="5">
        <v>0.3</v>
      </c>
      <c r="S17" s="5">
        <v>0.3</v>
      </c>
    </row>
  </sheetData>
  <mergeCells count="4">
    <mergeCell ref="P1:Q1"/>
    <mergeCell ref="R1:S1"/>
    <mergeCell ref="H1:K1"/>
    <mergeCell ref="L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2" sqref="C2"/>
    </sheetView>
  </sheetViews>
  <sheetFormatPr defaultRowHeight="15"/>
  <cols>
    <col min="1" max="1" width="11.7109375" bestFit="1" customWidth="1"/>
    <col min="2" max="2" width="17.5703125" hidden="1" customWidth="1"/>
    <col min="3" max="3" width="12.28515625" customWidth="1"/>
  </cols>
  <sheetData>
    <row r="1" spans="1:3" s="2" customFormat="1" ht="30">
      <c r="A1" s="6" t="s">
        <v>75</v>
      </c>
      <c r="B1" s="3" t="s">
        <v>85</v>
      </c>
      <c r="C1" s="3" t="s">
        <v>28</v>
      </c>
    </row>
    <row r="2" spans="1:3">
      <c r="A2" s="5" t="s">
        <v>76</v>
      </c>
      <c r="B2" s="16">
        <v>0.32500000000000001</v>
      </c>
      <c r="C2" s="16">
        <f>B2/$B$2</f>
        <v>1</v>
      </c>
    </row>
    <row r="3" spans="1:3">
      <c r="A3" s="5" t="s">
        <v>77</v>
      </c>
      <c r="B3" s="16">
        <v>0.27500000000000002</v>
      </c>
      <c r="C3" s="16">
        <f t="shared" ref="C3:C10" si="0">B3/$B$2</f>
        <v>0.84615384615384615</v>
      </c>
    </row>
    <row r="4" spans="1:3">
      <c r="A4" s="5" t="s">
        <v>78</v>
      </c>
      <c r="B4" s="16">
        <v>0.21</v>
      </c>
      <c r="C4" s="16">
        <f t="shared" si="0"/>
        <v>0.64615384615384608</v>
      </c>
    </row>
    <row r="5" spans="1:3">
      <c r="A5" s="5" t="s">
        <v>79</v>
      </c>
      <c r="B5" s="16">
        <v>0.06</v>
      </c>
      <c r="C5" s="16">
        <f t="shared" si="0"/>
        <v>0.1846153846153846</v>
      </c>
    </row>
    <row r="6" spans="1:3">
      <c r="A6" s="5" t="s">
        <v>80</v>
      </c>
      <c r="B6" s="16">
        <v>0.04</v>
      </c>
      <c r="C6" s="16">
        <f t="shared" si="0"/>
        <v>0.12307692307692307</v>
      </c>
    </row>
    <row r="7" spans="1:3">
      <c r="A7" s="5" t="s">
        <v>81</v>
      </c>
      <c r="B7" s="16">
        <v>0.04</v>
      </c>
      <c r="C7" s="16">
        <f t="shared" si="0"/>
        <v>0.12307692307692307</v>
      </c>
    </row>
    <row r="8" spans="1:3">
      <c r="A8" s="5" t="s">
        <v>82</v>
      </c>
      <c r="B8" s="16">
        <v>0.02</v>
      </c>
      <c r="C8" s="16">
        <f t="shared" si="0"/>
        <v>6.1538461538461535E-2</v>
      </c>
    </row>
    <row r="9" spans="1:3">
      <c r="A9" s="5" t="s">
        <v>83</v>
      </c>
      <c r="B9" s="16">
        <v>0.02</v>
      </c>
      <c r="C9" s="16">
        <f t="shared" si="0"/>
        <v>6.1538461538461535E-2</v>
      </c>
    </row>
    <row r="10" spans="1:3">
      <c r="A10" s="5" t="s">
        <v>84</v>
      </c>
      <c r="B10" s="16">
        <v>0.01</v>
      </c>
      <c r="C10" s="16">
        <f t="shared" si="0"/>
        <v>3.0769230769230767E-2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topLeftCell="B9" workbookViewId="0">
      <selection activeCell="C15" sqref="C15"/>
    </sheetView>
  </sheetViews>
  <sheetFormatPr defaultRowHeight="15"/>
  <cols>
    <col min="1" max="1" width="17.85546875" customWidth="1"/>
    <col min="2" max="2" width="26.140625" customWidth="1"/>
    <col min="3" max="3" width="23.42578125" customWidth="1"/>
    <col min="4" max="4" width="43.7109375" customWidth="1"/>
    <col min="5" max="5" width="18.85546875" customWidth="1"/>
    <col min="6" max="6" width="24" customWidth="1"/>
    <col min="8" max="8" width="52.85546875" bestFit="1" customWidth="1"/>
  </cols>
  <sheetData>
    <row r="1" spans="1:8">
      <c r="A1" s="71" t="s">
        <v>174</v>
      </c>
      <c r="B1" s="71"/>
      <c r="C1" s="71"/>
      <c r="D1" s="71"/>
      <c r="E1" s="71" t="s">
        <v>175</v>
      </c>
      <c r="F1" s="71"/>
      <c r="G1" s="71"/>
      <c r="H1" s="71"/>
    </row>
    <row r="2" spans="1:8">
      <c r="A2" s="61" t="s">
        <v>176</v>
      </c>
      <c r="B2" s="61" t="s">
        <v>147</v>
      </c>
      <c r="D2" s="2"/>
      <c r="F2" s="61" t="s">
        <v>147</v>
      </c>
    </row>
    <row r="3" spans="1:8">
      <c r="A3" s="62">
        <v>1</v>
      </c>
      <c r="B3" s="51" t="s">
        <v>148</v>
      </c>
      <c r="C3" s="52">
        <f xml:space="preserve"> 5% * 75%</f>
        <v>3.7500000000000006E-2</v>
      </c>
      <c r="D3" s="59" t="s">
        <v>167</v>
      </c>
      <c r="F3" s="51" t="s">
        <v>177</v>
      </c>
      <c r="G3" s="52">
        <f>5%*100%</f>
        <v>0.05</v>
      </c>
      <c r="H3" s="59" t="s">
        <v>167</v>
      </c>
    </row>
    <row r="4" spans="1:8">
      <c r="A4" s="62">
        <f>A3+1</f>
        <v>2</v>
      </c>
      <c r="B4" s="51" t="s">
        <v>149</v>
      </c>
      <c r="C4" s="52"/>
      <c r="D4" s="59" t="s">
        <v>192</v>
      </c>
      <c r="F4" s="51" t="s">
        <v>178</v>
      </c>
      <c r="G4" s="52"/>
      <c r="H4" s="59" t="s">
        <v>193</v>
      </c>
    </row>
    <row r="5" spans="1:8" ht="84.75" customHeight="1">
      <c r="A5" s="62" t="e">
        <f>#REF!+1</f>
        <v>#REF!</v>
      </c>
      <c r="B5" s="53" t="s">
        <v>150</v>
      </c>
      <c r="C5" s="52">
        <f>(10% * (100%+100%))/2</f>
        <v>0.1</v>
      </c>
      <c r="D5" s="59" t="s">
        <v>198</v>
      </c>
      <c r="F5" s="53" t="s">
        <v>179</v>
      </c>
      <c r="G5" s="52">
        <f>(10% * (100%+30%))/2</f>
        <v>6.5000000000000002E-2</v>
      </c>
      <c r="H5" s="59" t="s">
        <v>180</v>
      </c>
    </row>
    <row r="6" spans="1:8">
      <c r="A6" s="62" t="e">
        <f t="shared" ref="A6:A14" si="0">A5+1</f>
        <v>#REF!</v>
      </c>
      <c r="B6" s="51" t="s">
        <v>152</v>
      </c>
      <c r="C6" s="52">
        <f>10%*38.5%</f>
        <v>3.8500000000000006E-2</v>
      </c>
      <c r="D6" s="59" t="s">
        <v>168</v>
      </c>
      <c r="F6" s="51" t="s">
        <v>181</v>
      </c>
      <c r="G6" s="55">
        <f>10%*100%</f>
        <v>0.1</v>
      </c>
      <c r="H6" s="59" t="s">
        <v>168</v>
      </c>
    </row>
    <row r="7" spans="1:8" ht="54" customHeight="1">
      <c r="A7" s="62" t="e">
        <f t="shared" si="0"/>
        <v>#REF!</v>
      </c>
      <c r="B7" s="51" t="s">
        <v>151</v>
      </c>
      <c r="C7" s="52"/>
      <c r="D7" s="59" t="s">
        <v>153</v>
      </c>
      <c r="F7" s="51" t="s">
        <v>182</v>
      </c>
      <c r="G7" s="52"/>
      <c r="H7" s="59" t="s">
        <v>183</v>
      </c>
    </row>
    <row r="8" spans="1:8" ht="84" customHeight="1">
      <c r="A8" s="62" t="e">
        <f t="shared" si="0"/>
        <v>#REF!</v>
      </c>
      <c r="B8" s="51" t="s">
        <v>154</v>
      </c>
      <c r="C8" s="52">
        <f>8%*100%*100%</f>
        <v>0.08</v>
      </c>
      <c r="D8" s="59" t="s">
        <v>194</v>
      </c>
      <c r="F8" s="51"/>
      <c r="G8" s="63" t="s">
        <v>155</v>
      </c>
      <c r="H8" s="59" t="s">
        <v>156</v>
      </c>
    </row>
    <row r="9" spans="1:8" ht="48" customHeight="1">
      <c r="A9" s="62" t="e">
        <f t="shared" si="0"/>
        <v>#REF!</v>
      </c>
      <c r="B9" s="54" t="s">
        <v>155</v>
      </c>
      <c r="C9" s="52"/>
      <c r="D9" s="59" t="s">
        <v>156</v>
      </c>
      <c r="F9" s="51" t="s">
        <v>185</v>
      </c>
      <c r="G9" s="51"/>
      <c r="H9" s="59" t="s">
        <v>184</v>
      </c>
    </row>
    <row r="10" spans="1:8" ht="40.5" customHeight="1">
      <c r="A10" s="62" t="e">
        <f t="shared" si="0"/>
        <v>#REF!</v>
      </c>
      <c r="B10" s="51" t="s">
        <v>157</v>
      </c>
      <c r="C10" s="52">
        <f>3%*100%</f>
        <v>0.03</v>
      </c>
      <c r="D10" s="59" t="s">
        <v>158</v>
      </c>
      <c r="F10" s="51" t="s">
        <v>186</v>
      </c>
      <c r="G10" s="56">
        <f>3%*80%</f>
        <v>2.4E-2</v>
      </c>
      <c r="H10" s="59" t="s">
        <v>158</v>
      </c>
    </row>
    <row r="11" spans="1:8" ht="41.25" customHeight="1">
      <c r="A11" s="62" t="e">
        <f t="shared" si="0"/>
        <v>#REF!</v>
      </c>
      <c r="B11" s="51" t="s">
        <v>159</v>
      </c>
      <c r="C11" s="52">
        <f>3%*100%</f>
        <v>0.03</v>
      </c>
      <c r="D11" s="59" t="s">
        <v>160</v>
      </c>
      <c r="F11" s="51" t="s">
        <v>187</v>
      </c>
      <c r="G11" s="56">
        <f>3%*40%</f>
        <v>1.2E-2</v>
      </c>
      <c r="H11" s="59" t="s">
        <v>160</v>
      </c>
    </row>
    <row r="12" spans="1:8" ht="35.25" customHeight="1">
      <c r="A12" s="62" t="e">
        <f t="shared" si="0"/>
        <v>#REF!</v>
      </c>
      <c r="B12" s="51" t="s">
        <v>161</v>
      </c>
      <c r="C12" s="52"/>
      <c r="D12" s="59" t="s">
        <v>162</v>
      </c>
      <c r="F12" s="51" t="s">
        <v>188</v>
      </c>
      <c r="G12" s="52"/>
      <c r="H12" s="59" t="s">
        <v>162</v>
      </c>
    </row>
    <row r="13" spans="1:8" ht="28.5" customHeight="1">
      <c r="A13" s="62" t="e">
        <f t="shared" si="0"/>
        <v>#REF!</v>
      </c>
      <c r="B13" s="51" t="s">
        <v>163</v>
      </c>
      <c r="C13" s="55">
        <f>60%*50%</f>
        <v>0.3</v>
      </c>
      <c r="D13" s="59" t="s">
        <v>164</v>
      </c>
      <c r="F13" s="51" t="s">
        <v>189</v>
      </c>
      <c r="G13" s="55">
        <f>60%*Data!Q3</f>
        <v>0.6</v>
      </c>
      <c r="H13" s="59" t="s">
        <v>164</v>
      </c>
    </row>
    <row r="14" spans="1:8" ht="33" customHeight="1">
      <c r="A14" s="62" t="e">
        <f t="shared" si="0"/>
        <v>#REF!</v>
      </c>
      <c r="B14" s="51" t="s">
        <v>165</v>
      </c>
      <c r="C14" s="52">
        <f>1%*84.6%</f>
        <v>8.4600000000000005E-3</v>
      </c>
      <c r="D14" s="59" t="s">
        <v>166</v>
      </c>
      <c r="F14" s="51" t="s">
        <v>190</v>
      </c>
      <c r="G14" s="52">
        <f>1%* 100%</f>
        <v>0.01</v>
      </c>
      <c r="H14" s="59" t="s">
        <v>166</v>
      </c>
    </row>
    <row r="15" spans="1:8">
      <c r="B15" s="51" t="s">
        <v>169</v>
      </c>
      <c r="C15" s="52">
        <f>SUM(C3:C14)</f>
        <v>0.62446000000000013</v>
      </c>
      <c r="D15" s="60"/>
      <c r="F15" s="51" t="s">
        <v>169</v>
      </c>
      <c r="G15" s="52">
        <f>SUM(G3:G14)</f>
        <v>0.86099999999999999</v>
      </c>
      <c r="H15" s="60"/>
    </row>
    <row r="16" spans="1:8" ht="60" customHeight="1">
      <c r="B16" s="51" t="s">
        <v>170</v>
      </c>
      <c r="C16" s="51">
        <f>C15*Data!Q14</f>
        <v>21.795438171428575</v>
      </c>
      <c r="D16" s="59" t="s">
        <v>171</v>
      </c>
      <c r="F16" s="51" t="s">
        <v>191</v>
      </c>
      <c r="G16" s="57">
        <f>G15*14.8</f>
        <v>12.742800000000001</v>
      </c>
      <c r="H16" s="59" t="s">
        <v>171</v>
      </c>
    </row>
    <row r="17" spans="2:8">
      <c r="B17" s="51" t="s">
        <v>173</v>
      </c>
      <c r="C17" s="51">
        <f>C16+ 0.3</f>
        <v>22.095438171428576</v>
      </c>
      <c r="D17" s="59" t="s">
        <v>172</v>
      </c>
      <c r="F17" s="51" t="s">
        <v>173</v>
      </c>
      <c r="G17" s="58">
        <f>G16+0</f>
        <v>12.742800000000001</v>
      </c>
      <c r="H17" s="59" t="s">
        <v>195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9" sqref="D9"/>
    </sheetView>
  </sheetViews>
  <sheetFormatPr defaultRowHeight="15"/>
  <cols>
    <col min="1" max="1" width="17.5703125" bestFit="1" customWidth="1"/>
    <col min="3" max="3" width="17" bestFit="1" customWidth="1"/>
    <col min="4" max="4" width="13" customWidth="1"/>
    <col min="5" max="5" width="10.85546875" customWidth="1"/>
  </cols>
  <sheetData>
    <row r="1" spans="1:5">
      <c r="C1">
        <v>260</v>
      </c>
    </row>
    <row r="2" spans="1:5" ht="30">
      <c r="B2" t="s">
        <v>94</v>
      </c>
      <c r="C2" t="s">
        <v>95</v>
      </c>
      <c r="D2" s="2" t="s">
        <v>97</v>
      </c>
      <c r="E2" s="2" t="s">
        <v>93</v>
      </c>
    </row>
    <row r="3" spans="1:5">
      <c r="A3" t="s">
        <v>86</v>
      </c>
      <c r="B3" s="1">
        <v>0.56000000000000005</v>
      </c>
      <c r="C3">
        <v>145</v>
      </c>
      <c r="D3">
        <v>209</v>
      </c>
      <c r="E3" s="12">
        <f>D3/C3</f>
        <v>1.4413793103448276</v>
      </c>
    </row>
    <row r="4" spans="1:5">
      <c r="A4" t="s">
        <v>87</v>
      </c>
      <c r="B4" s="1">
        <v>0.14000000000000001</v>
      </c>
      <c r="C4">
        <v>37</v>
      </c>
      <c r="D4">
        <v>84</v>
      </c>
    </row>
    <row r="5" spans="1:5">
      <c r="A5" t="s">
        <v>88</v>
      </c>
      <c r="B5" s="1">
        <v>0.1</v>
      </c>
      <c r="C5">
        <v>26</v>
      </c>
      <c r="D5">
        <v>252</v>
      </c>
    </row>
    <row r="6" spans="1:5">
      <c r="A6" t="s">
        <v>89</v>
      </c>
      <c r="B6" s="1">
        <v>0.1</v>
      </c>
      <c r="C6">
        <v>25</v>
      </c>
      <c r="D6">
        <v>4156</v>
      </c>
    </row>
    <row r="7" spans="1:5">
      <c r="A7" t="s">
        <v>90</v>
      </c>
      <c r="B7" s="1">
        <v>0.05</v>
      </c>
      <c r="C7">
        <v>13</v>
      </c>
      <c r="D7">
        <v>380</v>
      </c>
    </row>
    <row r="8" spans="1:5">
      <c r="A8" t="s">
        <v>92</v>
      </c>
      <c r="C8">
        <v>9</v>
      </c>
    </row>
    <row r="9" spans="1:5">
      <c r="A9" t="s">
        <v>91</v>
      </c>
      <c r="B9" s="1">
        <v>0.01</v>
      </c>
      <c r="C9">
        <v>2</v>
      </c>
    </row>
    <row r="10" spans="1:5">
      <c r="A10" s="7" t="s">
        <v>96</v>
      </c>
      <c r="B10" s="7"/>
      <c r="C10" s="7">
        <f>SUM(C3:C9)</f>
        <v>257</v>
      </c>
    </row>
    <row r="11" spans="1:5">
      <c r="D11">
        <f>D3/SUM(D3:D7)</f>
        <v>4.113363511119858E-2</v>
      </c>
    </row>
    <row r="12" spans="1:5">
      <c r="A12" t="s">
        <v>98</v>
      </c>
      <c r="D12">
        <f>D11*100</f>
        <v>4.1133635111198581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L4" sqref="L3:T4"/>
    </sheetView>
  </sheetViews>
  <sheetFormatPr defaultRowHeight="15"/>
  <cols>
    <col min="1" max="1" width="17.28515625" bestFit="1" customWidth="1"/>
    <col min="2" max="3" width="14.42578125" style="5" customWidth="1"/>
    <col min="4" max="4" width="13.7109375" style="5" bestFit="1" customWidth="1"/>
    <col min="5" max="5" width="13.42578125" style="5" customWidth="1"/>
    <col min="6" max="6" width="12.7109375" bestFit="1" customWidth="1"/>
    <col min="7" max="7" width="14.140625" bestFit="1" customWidth="1"/>
    <col min="8" max="8" width="14.7109375" bestFit="1" customWidth="1"/>
    <col min="9" max="9" width="13.28515625" customWidth="1"/>
    <col min="10" max="10" width="14.5703125" customWidth="1"/>
    <col min="11" max="11" width="11" customWidth="1"/>
    <col min="12" max="12" width="13.140625" bestFit="1" customWidth="1"/>
    <col min="13" max="13" width="13.140625" customWidth="1"/>
    <col min="14" max="14" width="10.140625" customWidth="1"/>
    <col min="15" max="15" width="10.5703125" customWidth="1"/>
    <col min="16" max="17" width="9" customWidth="1"/>
    <col min="18" max="18" width="18.7109375" customWidth="1"/>
    <col min="19" max="19" width="9.85546875" bestFit="1" customWidth="1"/>
    <col min="23" max="23" width="6.140625" customWidth="1"/>
    <col min="24" max="24" width="17" bestFit="1" customWidth="1"/>
    <col min="25" max="25" width="13.5703125" bestFit="1" customWidth="1"/>
    <col min="26" max="26" width="10.85546875" customWidth="1"/>
  </cols>
  <sheetData>
    <row r="1" spans="1:20">
      <c r="L1" s="1">
        <v>0.05</v>
      </c>
      <c r="M1" s="72"/>
      <c r="N1" s="72"/>
      <c r="O1" s="72"/>
      <c r="P1" s="72"/>
    </row>
    <row r="2" spans="1:20">
      <c r="L2" s="1"/>
      <c r="M2">
        <v>15</v>
      </c>
      <c r="N2">
        <v>30</v>
      </c>
      <c r="O2">
        <v>70</v>
      </c>
      <c r="P2">
        <v>100</v>
      </c>
    </row>
    <row r="3" spans="1:20">
      <c r="L3" s="14" t="s">
        <v>6</v>
      </c>
      <c r="M3" s="69" t="s">
        <v>7</v>
      </c>
      <c r="N3" s="69"/>
      <c r="O3" s="69"/>
      <c r="P3" s="69"/>
      <c r="Q3" s="70" t="s">
        <v>8</v>
      </c>
      <c r="R3" s="70"/>
      <c r="S3" s="70"/>
      <c r="T3" s="70"/>
    </row>
    <row r="4" spans="1:20" s="23" customFormat="1" ht="45">
      <c r="B4" s="24" t="s">
        <v>105</v>
      </c>
      <c r="C4" s="24" t="s">
        <v>113</v>
      </c>
      <c r="D4" s="25" t="s">
        <v>104</v>
      </c>
      <c r="E4" s="26" t="s">
        <v>107</v>
      </c>
      <c r="F4" s="27" t="s">
        <v>108</v>
      </c>
      <c r="G4" s="27" t="s">
        <v>109</v>
      </c>
      <c r="H4" s="27" t="s">
        <v>110</v>
      </c>
      <c r="I4" s="27" t="s">
        <v>99</v>
      </c>
      <c r="J4" s="27" t="s">
        <v>100</v>
      </c>
      <c r="K4" s="22" t="s">
        <v>114</v>
      </c>
      <c r="L4" s="27" t="s">
        <v>102</v>
      </c>
      <c r="M4" s="27" t="s">
        <v>102</v>
      </c>
      <c r="N4" s="27" t="s">
        <v>103</v>
      </c>
      <c r="O4" s="27" t="s">
        <v>21</v>
      </c>
      <c r="P4" s="27" t="s">
        <v>22</v>
      </c>
      <c r="Q4" s="27" t="s">
        <v>102</v>
      </c>
      <c r="R4" s="27" t="s">
        <v>103</v>
      </c>
      <c r="S4" s="27" t="s">
        <v>21</v>
      </c>
      <c r="T4" s="27" t="s">
        <v>22</v>
      </c>
    </row>
    <row r="5" spans="1:20">
      <c r="A5" t="s">
        <v>67</v>
      </c>
      <c r="B5" s="20">
        <v>0.23</v>
      </c>
      <c r="C5" s="20">
        <f>B5/$B$5</f>
        <v>1</v>
      </c>
      <c r="D5" s="19">
        <f t="shared" ref="D5:D22" si="0">B5*$D$25</f>
        <v>59.11</v>
      </c>
      <c r="E5" s="19">
        <f t="shared" ref="E5:E22" si="1">D5*$E$25</f>
        <v>33.101600000000005</v>
      </c>
      <c r="F5">
        <v>3454</v>
      </c>
      <c r="G5" s="11">
        <f>F5*no_use!$D$12%</f>
        <v>142.07557567407989</v>
      </c>
      <c r="H5" s="12">
        <f t="shared" ref="H5:H22" si="2">G5/E5</f>
        <v>4.2921059910723312</v>
      </c>
      <c r="I5" s="12">
        <f>H5*6</f>
        <v>25.752635946433987</v>
      </c>
      <c r="J5" s="12">
        <f>I5*100/30</f>
        <v>85.84211982144663</v>
      </c>
      <c r="K5" s="12">
        <f>J5+2</f>
        <v>87.84211982144663</v>
      </c>
      <c r="L5" s="13">
        <v>1.5</v>
      </c>
      <c r="M5" s="13">
        <v>2.5</v>
      </c>
      <c r="N5">
        <v>2.75</v>
      </c>
      <c r="O5">
        <v>4</v>
      </c>
    </row>
    <row r="6" spans="1:20">
      <c r="A6" t="s">
        <v>57</v>
      </c>
      <c r="B6" s="20">
        <v>0.11</v>
      </c>
      <c r="C6" s="20">
        <f t="shared" ref="C6:C22" si="3">B6/$B$5</f>
        <v>0.47826086956521735</v>
      </c>
      <c r="D6" s="19">
        <f t="shared" si="0"/>
        <v>28.27</v>
      </c>
      <c r="E6" s="19">
        <f t="shared" si="1"/>
        <v>15.831200000000001</v>
      </c>
      <c r="F6">
        <v>88</v>
      </c>
      <c r="G6" s="11">
        <f>F6*no_use!$D$12%</f>
        <v>3.6197598897854748</v>
      </c>
      <c r="H6" s="12">
        <f t="shared" si="2"/>
        <v>0.2286472212962678</v>
      </c>
      <c r="I6" s="12">
        <f t="shared" ref="I6:I22" si="4">H6*6</f>
        <v>1.3718833277776068</v>
      </c>
      <c r="J6" s="12">
        <f t="shared" ref="J6:J22" si="5">I6*100/30</f>
        <v>4.572944425925356</v>
      </c>
      <c r="K6" s="12">
        <f t="shared" ref="K6:K22" si="6">J6+2</f>
        <v>6.572944425925356</v>
      </c>
      <c r="L6" s="13">
        <v>1.5</v>
      </c>
      <c r="M6" s="13">
        <v>2.5</v>
      </c>
      <c r="N6">
        <v>2.75</v>
      </c>
      <c r="O6">
        <v>4</v>
      </c>
    </row>
    <row r="7" spans="1:20">
      <c r="A7" t="s">
        <v>58</v>
      </c>
      <c r="B7" s="20">
        <v>0.09</v>
      </c>
      <c r="C7" s="20">
        <f t="shared" si="3"/>
        <v>0.39130434782608692</v>
      </c>
      <c r="D7" s="19">
        <f t="shared" si="0"/>
        <v>23.13</v>
      </c>
      <c r="E7" s="19">
        <f t="shared" si="1"/>
        <v>12.9528</v>
      </c>
      <c r="F7">
        <v>24</v>
      </c>
      <c r="G7" s="11">
        <f>F7*no_use!$D$12%</f>
        <v>0.98720724266876592</v>
      </c>
      <c r="H7" s="12">
        <f t="shared" si="2"/>
        <v>7.6215740432089271E-2</v>
      </c>
      <c r="I7" s="12">
        <f t="shared" si="4"/>
        <v>0.4572944425925356</v>
      </c>
      <c r="J7" s="12">
        <f t="shared" si="5"/>
        <v>1.5243148086417855</v>
      </c>
      <c r="K7" s="12">
        <f t="shared" si="6"/>
        <v>3.5243148086417855</v>
      </c>
      <c r="L7" s="13">
        <v>1.5</v>
      </c>
      <c r="M7" s="13">
        <v>2.5</v>
      </c>
      <c r="N7">
        <v>2.75</v>
      </c>
      <c r="O7">
        <v>4</v>
      </c>
      <c r="P7" s="2"/>
      <c r="Q7" s="2"/>
    </row>
    <row r="8" spans="1:20">
      <c r="A8" t="s">
        <v>59</v>
      </c>
      <c r="B8" s="20">
        <v>0.06</v>
      </c>
      <c r="C8" s="20">
        <f t="shared" si="3"/>
        <v>0.2608695652173913</v>
      </c>
      <c r="D8" s="19">
        <f t="shared" si="0"/>
        <v>15.42</v>
      </c>
      <c r="E8" s="19">
        <f t="shared" si="1"/>
        <v>8.6352000000000011</v>
      </c>
      <c r="F8">
        <v>29.5</v>
      </c>
      <c r="G8" s="11">
        <f>F8*no_use!$D$12%</f>
        <v>1.213442235780358</v>
      </c>
      <c r="H8" s="12">
        <f t="shared" si="2"/>
        <v>0.14052277142166456</v>
      </c>
      <c r="I8" s="12">
        <f t="shared" si="4"/>
        <v>0.84313662852998728</v>
      </c>
      <c r="J8" s="12">
        <f t="shared" si="5"/>
        <v>2.8104554284332912</v>
      </c>
      <c r="K8" s="12">
        <f t="shared" si="6"/>
        <v>4.8104554284332917</v>
      </c>
      <c r="L8" s="13">
        <v>1.5</v>
      </c>
      <c r="M8" s="13">
        <v>2.5</v>
      </c>
      <c r="N8">
        <v>2.75</v>
      </c>
      <c r="O8">
        <v>4</v>
      </c>
    </row>
    <row r="9" spans="1:20">
      <c r="A9" t="s">
        <v>60</v>
      </c>
      <c r="B9" s="20">
        <v>0.05</v>
      </c>
      <c r="C9" s="20">
        <f t="shared" si="3"/>
        <v>0.21739130434782608</v>
      </c>
      <c r="D9" s="19">
        <f t="shared" si="0"/>
        <v>12.850000000000001</v>
      </c>
      <c r="E9" s="19">
        <f t="shared" si="1"/>
        <v>7.1960000000000015</v>
      </c>
      <c r="F9">
        <v>20</v>
      </c>
      <c r="G9" s="11">
        <f>F9*no_use!$D$12%</f>
        <v>0.8226727022239716</v>
      </c>
      <c r="H9" s="12">
        <f t="shared" si="2"/>
        <v>0.11432361064813389</v>
      </c>
      <c r="I9" s="12">
        <f t="shared" si="4"/>
        <v>0.68594166388880329</v>
      </c>
      <c r="J9" s="12">
        <f t="shared" si="5"/>
        <v>2.2864722129626776</v>
      </c>
      <c r="K9" s="12">
        <f t="shared" si="6"/>
        <v>4.2864722129626776</v>
      </c>
      <c r="L9" s="13">
        <v>1.5</v>
      </c>
      <c r="M9" s="13">
        <v>2.5</v>
      </c>
      <c r="N9">
        <v>2.75</v>
      </c>
      <c r="O9">
        <v>4</v>
      </c>
    </row>
    <row r="10" spans="1:20">
      <c r="A10" t="s">
        <v>61</v>
      </c>
      <c r="B10" s="20">
        <v>0.05</v>
      </c>
      <c r="C10" s="20">
        <f t="shared" si="3"/>
        <v>0.21739130434782608</v>
      </c>
      <c r="D10" s="19">
        <f t="shared" si="0"/>
        <v>12.850000000000001</v>
      </c>
      <c r="E10" s="19">
        <f t="shared" si="1"/>
        <v>7.1960000000000015</v>
      </c>
      <c r="F10">
        <v>75</v>
      </c>
      <c r="G10" s="11">
        <f>F10*no_use!$D$12%</f>
        <v>3.0850226333398933</v>
      </c>
      <c r="H10" s="12">
        <f t="shared" si="2"/>
        <v>0.42871353993050204</v>
      </c>
      <c r="I10" s="12">
        <f t="shared" si="4"/>
        <v>2.5722812395830124</v>
      </c>
      <c r="J10" s="12">
        <f t="shared" si="5"/>
        <v>8.5742707986100406</v>
      </c>
      <c r="K10" s="12">
        <f t="shared" si="6"/>
        <v>10.574270798610041</v>
      </c>
      <c r="L10" s="13">
        <v>1.5</v>
      </c>
      <c r="M10" s="13">
        <v>2.5</v>
      </c>
      <c r="N10">
        <v>2.75</v>
      </c>
      <c r="O10">
        <v>4</v>
      </c>
    </row>
    <row r="11" spans="1:20">
      <c r="A11" t="s">
        <v>62</v>
      </c>
      <c r="B11" s="20">
        <v>0.04</v>
      </c>
      <c r="C11" s="20">
        <f t="shared" si="3"/>
        <v>0.17391304347826086</v>
      </c>
      <c r="D11" s="19">
        <f t="shared" si="0"/>
        <v>10.28</v>
      </c>
      <c r="E11" s="19">
        <f t="shared" si="1"/>
        <v>5.7568000000000001</v>
      </c>
      <c r="F11">
        <v>20</v>
      </c>
      <c r="G11" s="11">
        <f>F11*no_use!$D$12%</f>
        <v>0.8226727022239716</v>
      </c>
      <c r="H11" s="12">
        <f t="shared" si="2"/>
        <v>0.14290451331016737</v>
      </c>
      <c r="I11" s="12">
        <f t="shared" si="4"/>
        <v>0.85742707986100419</v>
      </c>
      <c r="J11" s="12">
        <f t="shared" si="5"/>
        <v>2.8580902662033472</v>
      </c>
      <c r="K11" s="12">
        <f t="shared" si="6"/>
        <v>4.8580902662033472</v>
      </c>
      <c r="L11" s="13">
        <v>1.5</v>
      </c>
      <c r="M11" s="13">
        <v>2.5</v>
      </c>
      <c r="N11">
        <v>2.75</v>
      </c>
      <c r="O11">
        <v>4</v>
      </c>
    </row>
    <row r="12" spans="1:20">
      <c r="A12" t="s">
        <v>63</v>
      </c>
      <c r="B12" s="20">
        <v>0.03</v>
      </c>
      <c r="C12" s="20">
        <f t="shared" si="3"/>
        <v>0.13043478260869565</v>
      </c>
      <c r="D12" s="19">
        <f t="shared" si="0"/>
        <v>7.71</v>
      </c>
      <c r="E12" s="19">
        <f t="shared" si="1"/>
        <v>4.3176000000000005</v>
      </c>
      <c r="F12">
        <v>240</v>
      </c>
      <c r="G12" s="11">
        <f>F12*no_use!$D$12%</f>
        <v>9.8720724266876587</v>
      </c>
      <c r="H12" s="12">
        <f t="shared" si="2"/>
        <v>2.2864722129626776</v>
      </c>
      <c r="I12" s="12">
        <f t="shared" si="4"/>
        <v>13.718833277776065</v>
      </c>
      <c r="J12" s="12">
        <f t="shared" si="5"/>
        <v>45.729444259253555</v>
      </c>
      <c r="K12" s="12">
        <f t="shared" si="6"/>
        <v>47.729444259253555</v>
      </c>
      <c r="L12" s="13">
        <v>1.5</v>
      </c>
      <c r="M12" s="13">
        <v>2.5</v>
      </c>
      <c r="N12">
        <v>2.75</v>
      </c>
      <c r="O12">
        <v>4</v>
      </c>
    </row>
    <row r="13" spans="1:20">
      <c r="A13" t="s">
        <v>64</v>
      </c>
      <c r="B13" s="20">
        <v>0.03</v>
      </c>
      <c r="C13" s="20">
        <f t="shared" si="3"/>
        <v>0.13043478260869565</v>
      </c>
      <c r="D13" s="19">
        <f t="shared" si="0"/>
        <v>7.71</v>
      </c>
      <c r="E13" s="19">
        <f t="shared" si="1"/>
        <v>4.3176000000000005</v>
      </c>
      <c r="F13">
        <v>14</v>
      </c>
      <c r="G13" s="11">
        <f>F13*no_use!$D$12%</f>
        <v>0.57587089155678006</v>
      </c>
      <c r="H13" s="12">
        <f t="shared" si="2"/>
        <v>0.13337754575615621</v>
      </c>
      <c r="I13" s="12">
        <f t="shared" si="4"/>
        <v>0.80026527453693719</v>
      </c>
      <c r="J13" s="12">
        <f t="shared" si="5"/>
        <v>2.6675509151231238</v>
      </c>
      <c r="K13" s="12">
        <f t="shared" si="6"/>
        <v>4.6675509151231243</v>
      </c>
      <c r="L13" s="13">
        <v>1.5</v>
      </c>
      <c r="M13" s="13">
        <v>2.5</v>
      </c>
      <c r="N13">
        <v>2.75</v>
      </c>
      <c r="O13">
        <v>4</v>
      </c>
    </row>
    <row r="14" spans="1:20">
      <c r="A14" t="s">
        <v>65</v>
      </c>
      <c r="B14" s="20">
        <v>0.02</v>
      </c>
      <c r="C14" s="20">
        <f t="shared" si="3"/>
        <v>8.6956521739130432E-2</v>
      </c>
      <c r="D14" s="19">
        <f t="shared" si="0"/>
        <v>5.14</v>
      </c>
      <c r="E14" s="19">
        <f t="shared" si="1"/>
        <v>2.8784000000000001</v>
      </c>
      <c r="F14">
        <v>24</v>
      </c>
      <c r="G14" s="11">
        <f>F14*no_use!$D$12%</f>
        <v>0.98720724266876592</v>
      </c>
      <c r="H14" s="12">
        <f t="shared" si="2"/>
        <v>0.3429708319444017</v>
      </c>
      <c r="I14" s="12">
        <f t="shared" si="4"/>
        <v>2.0578249916664104</v>
      </c>
      <c r="J14" s="12">
        <f t="shared" si="5"/>
        <v>6.8594166388880344</v>
      </c>
      <c r="K14" s="12">
        <f t="shared" si="6"/>
        <v>8.8594166388880353</v>
      </c>
      <c r="L14" s="13">
        <v>1.5</v>
      </c>
      <c r="M14" s="13">
        <v>2.5</v>
      </c>
      <c r="N14">
        <v>2.75</v>
      </c>
      <c r="O14">
        <v>4</v>
      </c>
    </row>
    <row r="15" spans="1:20">
      <c r="A15" t="s">
        <v>68</v>
      </c>
      <c r="B15" s="21">
        <v>2.5000000000000001E-2</v>
      </c>
      <c r="C15" s="20">
        <f t="shared" si="3"/>
        <v>0.10869565217391304</v>
      </c>
      <c r="D15" s="19">
        <f t="shared" si="0"/>
        <v>6.4250000000000007</v>
      </c>
      <c r="E15" s="19">
        <f t="shared" si="1"/>
        <v>3.5980000000000008</v>
      </c>
      <c r="F15">
        <v>36</v>
      </c>
      <c r="G15" s="11">
        <f>F15*no_use!$D$12%</f>
        <v>1.480810864003149</v>
      </c>
      <c r="H15" s="12">
        <f t="shared" si="2"/>
        <v>0.41156499833328203</v>
      </c>
      <c r="I15" s="12">
        <f t="shared" si="4"/>
        <v>2.4693899899996921</v>
      </c>
      <c r="J15" s="12">
        <f t="shared" si="5"/>
        <v>8.2312999666656399</v>
      </c>
      <c r="K15" s="12">
        <f t="shared" si="6"/>
        <v>10.23129996666564</v>
      </c>
      <c r="L15" s="13">
        <v>1.5</v>
      </c>
      <c r="M15" s="13">
        <v>2.5</v>
      </c>
      <c r="N15">
        <v>2.75</v>
      </c>
      <c r="O15">
        <v>4</v>
      </c>
    </row>
    <row r="16" spans="1:20">
      <c r="A16" t="s">
        <v>69</v>
      </c>
      <c r="B16" s="20">
        <v>0.02</v>
      </c>
      <c r="C16" s="20">
        <f t="shared" si="3"/>
        <v>8.6956521739130432E-2</v>
      </c>
      <c r="D16" s="19">
        <f t="shared" si="0"/>
        <v>5.14</v>
      </c>
      <c r="E16" s="19">
        <f t="shared" si="1"/>
        <v>2.8784000000000001</v>
      </c>
      <c r="F16">
        <v>40</v>
      </c>
      <c r="G16" s="11">
        <f>F16*no_use!$D$12%</f>
        <v>1.6453454044479432</v>
      </c>
      <c r="H16" s="12">
        <f t="shared" si="2"/>
        <v>0.5716180532406695</v>
      </c>
      <c r="I16" s="12">
        <f t="shared" si="4"/>
        <v>3.4297083194440168</v>
      </c>
      <c r="J16" s="12">
        <f t="shared" si="5"/>
        <v>11.432361064813389</v>
      </c>
      <c r="K16" s="12">
        <f t="shared" si="6"/>
        <v>13.432361064813389</v>
      </c>
      <c r="L16" s="13">
        <v>1.5</v>
      </c>
      <c r="M16" s="13">
        <v>2.5</v>
      </c>
      <c r="N16">
        <v>2.75</v>
      </c>
      <c r="O16">
        <v>4</v>
      </c>
    </row>
    <row r="17" spans="1:15">
      <c r="A17" t="s">
        <v>70</v>
      </c>
      <c r="B17" s="20">
        <v>0.02</v>
      </c>
      <c r="C17" s="20">
        <f t="shared" si="3"/>
        <v>8.6956521739130432E-2</v>
      </c>
      <c r="D17" s="19">
        <f t="shared" si="0"/>
        <v>5.14</v>
      </c>
      <c r="E17" s="19">
        <f t="shared" si="1"/>
        <v>2.8784000000000001</v>
      </c>
      <c r="F17">
        <v>2.125</v>
      </c>
      <c r="G17" s="11">
        <f>F17*no_use!$D$12%</f>
        <v>8.7408974611296986E-2</v>
      </c>
      <c r="H17" s="12">
        <f t="shared" si="2"/>
        <v>3.0367209078410569E-2</v>
      </c>
      <c r="I17" s="12">
        <f t="shared" si="4"/>
        <v>0.18220325447046343</v>
      </c>
      <c r="J17" s="12">
        <f t="shared" si="5"/>
        <v>0.60734418156821135</v>
      </c>
      <c r="K17" s="12">
        <f t="shared" si="6"/>
        <v>2.6073441815682115</v>
      </c>
      <c r="L17" s="13">
        <v>1.5</v>
      </c>
      <c r="M17" s="13">
        <v>2.5</v>
      </c>
      <c r="N17">
        <v>2.75</v>
      </c>
      <c r="O17">
        <v>4</v>
      </c>
    </row>
    <row r="18" spans="1:15">
      <c r="A18" t="s">
        <v>71</v>
      </c>
      <c r="B18" s="20">
        <v>0.02</v>
      </c>
      <c r="C18" s="20">
        <f t="shared" si="3"/>
        <v>8.6956521739130432E-2</v>
      </c>
      <c r="D18" s="19">
        <f t="shared" si="0"/>
        <v>5.14</v>
      </c>
      <c r="E18" s="19">
        <f t="shared" si="1"/>
        <v>2.8784000000000001</v>
      </c>
      <c r="F18">
        <v>6.3</v>
      </c>
      <c r="G18" s="11">
        <f>F18*no_use!$D$12%</f>
        <v>0.25914190120055103</v>
      </c>
      <c r="H18" s="12">
        <f t="shared" si="2"/>
        <v>9.0029843385405442E-2</v>
      </c>
      <c r="I18" s="12">
        <f t="shared" si="4"/>
        <v>0.54017906031243268</v>
      </c>
      <c r="J18" s="12">
        <f t="shared" si="5"/>
        <v>1.800596867708109</v>
      </c>
      <c r="K18" s="12">
        <f t="shared" si="6"/>
        <v>3.800596867708109</v>
      </c>
      <c r="L18" s="13">
        <v>1.5</v>
      </c>
      <c r="M18" s="13">
        <v>2.5</v>
      </c>
      <c r="N18">
        <v>2.75</v>
      </c>
      <c r="O18">
        <v>4</v>
      </c>
    </row>
    <row r="19" spans="1:15">
      <c r="A19" t="s">
        <v>72</v>
      </c>
      <c r="B19" s="20">
        <v>0.02</v>
      </c>
      <c r="C19" s="20">
        <f t="shared" si="3"/>
        <v>8.6956521739130432E-2</v>
      </c>
      <c r="D19" s="19">
        <f t="shared" si="0"/>
        <v>5.14</v>
      </c>
      <c r="E19" s="19">
        <f t="shared" si="1"/>
        <v>2.8784000000000001</v>
      </c>
      <c r="F19">
        <v>21</v>
      </c>
      <c r="G19" s="11">
        <f>F19*no_use!$D$12%</f>
        <v>0.8638063373351702</v>
      </c>
      <c r="H19" s="12">
        <f t="shared" si="2"/>
        <v>0.3000994779513515</v>
      </c>
      <c r="I19" s="12">
        <f t="shared" si="4"/>
        <v>1.800596867708109</v>
      </c>
      <c r="J19" s="12">
        <f t="shared" si="5"/>
        <v>6.00198955902703</v>
      </c>
      <c r="K19" s="12">
        <f t="shared" si="6"/>
        <v>8.0019895590270309</v>
      </c>
      <c r="L19" s="13">
        <v>1.5</v>
      </c>
      <c r="M19" s="13">
        <v>2.5</v>
      </c>
      <c r="N19">
        <v>2.75</v>
      </c>
      <c r="O19">
        <v>4</v>
      </c>
    </row>
    <row r="20" spans="1:15">
      <c r="A20" t="s">
        <v>73</v>
      </c>
      <c r="B20" s="20">
        <v>0.02</v>
      </c>
      <c r="C20" s="20">
        <f t="shared" si="3"/>
        <v>8.6956521739130432E-2</v>
      </c>
      <c r="D20" s="19">
        <f t="shared" si="0"/>
        <v>5.14</v>
      </c>
      <c r="E20" s="19">
        <f t="shared" si="1"/>
        <v>2.8784000000000001</v>
      </c>
      <c r="F20">
        <v>39</v>
      </c>
      <c r="G20" s="11">
        <f>F20*no_use!$D$12%</f>
        <v>1.6042117693367446</v>
      </c>
      <c r="H20" s="12">
        <f t="shared" si="2"/>
        <v>0.5573276019096528</v>
      </c>
      <c r="I20" s="12">
        <f t="shared" si="4"/>
        <v>3.343965611457917</v>
      </c>
      <c r="J20" s="12">
        <f t="shared" si="5"/>
        <v>11.146552038193056</v>
      </c>
      <c r="K20" s="12">
        <f t="shared" si="6"/>
        <v>13.146552038193056</v>
      </c>
      <c r="L20" s="13">
        <v>1.5</v>
      </c>
      <c r="M20" s="13">
        <v>2.5</v>
      </c>
      <c r="N20">
        <v>2.75</v>
      </c>
      <c r="O20">
        <v>4</v>
      </c>
    </row>
    <row r="21" spans="1:15">
      <c r="A21" t="s">
        <v>74</v>
      </c>
      <c r="B21" s="20">
        <v>0.02</v>
      </c>
      <c r="C21" s="20">
        <f t="shared" si="3"/>
        <v>8.6956521739130432E-2</v>
      </c>
      <c r="D21" s="19">
        <f t="shared" si="0"/>
        <v>5.14</v>
      </c>
      <c r="E21" s="19">
        <f t="shared" si="1"/>
        <v>2.8784000000000001</v>
      </c>
      <c r="F21">
        <v>6</v>
      </c>
      <c r="G21" s="11">
        <f>F21*no_use!$D$12%</f>
        <v>0.24680181066719148</v>
      </c>
      <c r="H21" s="12">
        <f t="shared" si="2"/>
        <v>8.5742707986100425E-2</v>
      </c>
      <c r="I21" s="12">
        <f t="shared" si="4"/>
        <v>0.5144562479166026</v>
      </c>
      <c r="J21" s="12">
        <f t="shared" si="5"/>
        <v>1.7148541597220086</v>
      </c>
      <c r="K21" s="12">
        <f t="shared" si="6"/>
        <v>3.7148541597220088</v>
      </c>
      <c r="L21" s="13">
        <v>1.5</v>
      </c>
      <c r="M21" s="13">
        <v>2.5</v>
      </c>
      <c r="N21">
        <v>2.75</v>
      </c>
      <c r="O21">
        <v>4</v>
      </c>
    </row>
    <row r="22" spans="1:15">
      <c r="A22" t="s">
        <v>66</v>
      </c>
      <c r="B22" s="20">
        <f>29%-SUM(B15:B21)</f>
        <v>0.14499999999999999</v>
      </c>
      <c r="C22" s="20">
        <f t="shared" si="3"/>
        <v>0.63043478260869557</v>
      </c>
      <c r="D22" s="19">
        <f t="shared" si="0"/>
        <v>37.265000000000001</v>
      </c>
      <c r="E22" s="19">
        <f t="shared" si="1"/>
        <v>20.868400000000001</v>
      </c>
      <c r="F22">
        <f>5100-SUM(F5:F21)</f>
        <v>961.07499999999982</v>
      </c>
      <c r="G22" s="11">
        <f>F22*no_use!$D$12%</f>
        <v>39.532508364495165</v>
      </c>
      <c r="H22" s="12">
        <f t="shared" si="2"/>
        <v>1.894371794890608</v>
      </c>
      <c r="I22" s="12">
        <f t="shared" si="4"/>
        <v>11.366230769343648</v>
      </c>
      <c r="J22" s="12">
        <f t="shared" si="5"/>
        <v>37.887435897812161</v>
      </c>
      <c r="K22" s="12">
        <f t="shared" si="6"/>
        <v>39.887435897812161</v>
      </c>
      <c r="L22" s="13">
        <v>1.5</v>
      </c>
      <c r="M22" s="13">
        <v>2.5</v>
      </c>
      <c r="N22">
        <v>2.75</v>
      </c>
      <c r="O22">
        <v>4</v>
      </c>
    </row>
    <row r="25" spans="1:15">
      <c r="A25" t="s">
        <v>106</v>
      </c>
      <c r="D25" s="17">
        <f>no_use!C10</f>
        <v>257</v>
      </c>
      <c r="E25" s="15">
        <f>no_use!B3</f>
        <v>0.56000000000000005</v>
      </c>
    </row>
    <row r="26" spans="1:15">
      <c r="D26" s="5">
        <f>D25*E25</f>
        <v>143.92000000000002</v>
      </c>
      <c r="E26" s="5">
        <v>1.44</v>
      </c>
    </row>
  </sheetData>
  <mergeCells count="3">
    <mergeCell ref="M3:P3"/>
    <mergeCell ref="Q3:T3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Slides</vt:lpstr>
      <vt:lpstr>Data</vt:lpstr>
      <vt:lpstr>City</vt:lpstr>
      <vt:lpstr>example</vt:lpstr>
      <vt:lpstr>no_use</vt:lpstr>
      <vt:lpstr>No_Use1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Aman Bedi</cp:lastModifiedBy>
  <dcterms:created xsi:type="dcterms:W3CDTF">2015-03-15T10:38:19Z</dcterms:created>
  <dcterms:modified xsi:type="dcterms:W3CDTF">2015-05-04T12:48:09Z</dcterms:modified>
</cp:coreProperties>
</file>